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mc:AlternateContent xmlns:mc="http://schemas.openxmlformats.org/markup-compatibility/2006">
    <mc:Choice Requires="x15">
      <x15ac:absPath xmlns:x15ac="http://schemas.microsoft.com/office/spreadsheetml/2010/11/ac" url="/Users/byronduhalde/Desktop/REVISIÓN SISTEMATICA FINAL/"/>
    </mc:Choice>
  </mc:AlternateContent>
  <xr:revisionPtr revIDLastSave="0" documentId="13_ncr:1_{A31B7DBE-EB2F-6C43-B1F5-578937729BEE}" xr6:coauthVersionLast="47" xr6:coauthVersionMax="47" xr10:uidLastSave="{00000000-0000-0000-0000-000000000000}"/>
  <bookViews>
    <workbookView xWindow="12520" yWindow="600" windowWidth="20860" windowHeight="16840" activeTab="1" xr2:uid="{00000000-000D-0000-FFFF-FFFF00000000}"/>
  </bookViews>
  <sheets>
    <sheet name="Hoja1" sheetId="1" r:id="rId1"/>
    <sheet name="Hoja 1" sheetId="2" r:id="rId2"/>
  </sheets>
  <definedNames>
    <definedName name="_xlnm._FilterDatabase" localSheetId="1" hidden="1">'Hoja 1'!$A$1:$Q$1308</definedName>
    <definedName name="_xlnm._FilterDatabase" localSheetId="0" hidden="1">Hoja1!$A$1:$Q$1927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tqXxaDwxfBOVX4BlX10nUqwq6ITpuhZ8FOhgKaVL/To="/>
    </ext>
  </extLst>
</workbook>
</file>

<file path=xl/calcChain.xml><?xml version="1.0" encoding="utf-8"?>
<calcChain xmlns="http://schemas.openxmlformats.org/spreadsheetml/2006/main">
  <c r="P1308" i="2" l="1"/>
  <c r="P1307" i="2"/>
  <c r="P1305" i="2"/>
  <c r="P1304" i="2"/>
  <c r="P1302" i="2"/>
  <c r="P1301" i="2"/>
  <c r="P1299" i="2"/>
  <c r="P1296" i="2"/>
  <c r="P1292" i="2"/>
  <c r="P1291" i="2"/>
  <c r="P1290" i="2"/>
  <c r="P1287" i="2"/>
  <c r="P1285" i="2"/>
  <c r="P1284" i="2"/>
  <c r="P1283" i="2"/>
  <c r="P1282" i="2"/>
  <c r="P1281" i="2"/>
  <c r="P1280" i="2"/>
  <c r="P1279" i="2"/>
  <c r="P1278" i="2"/>
  <c r="P1269" i="2"/>
  <c r="P1264" i="2"/>
  <c r="P1261" i="2"/>
  <c r="P1255" i="2"/>
  <c r="P1254" i="2"/>
  <c r="P1247" i="2"/>
  <c r="P1243" i="2"/>
  <c r="P1241" i="2"/>
  <c r="P1236" i="2"/>
  <c r="P1234" i="2"/>
  <c r="P1233" i="2"/>
  <c r="P1232" i="2"/>
  <c r="P1230" i="2"/>
  <c r="P1229" i="2"/>
  <c r="P1228" i="2"/>
  <c r="P1227" i="2"/>
  <c r="P1226" i="2"/>
  <c r="P1220" i="2"/>
  <c r="P1219" i="2"/>
  <c r="P1218" i="2"/>
  <c r="P1217" i="2"/>
  <c r="P1214" i="2"/>
  <c r="P1213" i="2"/>
  <c r="P1211" i="2"/>
  <c r="P1210" i="2"/>
  <c r="P1209" i="2"/>
  <c r="P1208" i="2"/>
  <c r="P1206" i="2"/>
  <c r="P1203" i="2"/>
  <c r="P1202" i="2"/>
  <c r="P1199" i="2"/>
  <c r="P1191" i="2"/>
  <c r="P1190" i="2"/>
  <c r="P1188" i="2"/>
  <c r="P1186" i="2"/>
  <c r="P1185" i="2"/>
  <c r="P1182" i="2"/>
  <c r="P1181" i="2"/>
  <c r="P1179" i="2"/>
  <c r="P1175" i="2"/>
  <c r="P1173" i="2"/>
  <c r="P1172" i="2"/>
  <c r="P1171" i="2"/>
  <c r="P1168" i="2"/>
  <c r="P1164" i="2"/>
  <c r="P1162" i="2"/>
  <c r="P1161" i="2"/>
  <c r="P1153" i="2"/>
  <c r="P1150" i="2"/>
  <c r="P1149" i="2"/>
  <c r="P1147" i="2"/>
  <c r="P1146" i="2"/>
  <c r="P1140" i="2"/>
  <c r="P1139" i="2"/>
  <c r="P1132" i="2"/>
  <c r="P1127" i="2"/>
  <c r="P1123" i="2"/>
  <c r="P1122" i="2"/>
  <c r="P1102" i="2"/>
  <c r="P1101" i="2"/>
  <c r="P1077" i="2"/>
  <c r="P1072" i="2"/>
  <c r="P1070" i="2"/>
  <c r="P1066" i="2"/>
  <c r="P1064" i="2"/>
  <c r="P1062" i="2"/>
  <c r="P1060" i="2"/>
  <c r="P1059" i="2"/>
  <c r="P1057" i="2"/>
  <c r="P1056" i="2"/>
  <c r="P1054" i="2"/>
  <c r="P1053" i="2"/>
  <c r="P1050" i="2"/>
  <c r="P1049" i="2"/>
  <c r="P1047" i="2"/>
  <c r="P1043" i="2"/>
  <c r="P1041" i="2"/>
  <c r="P1036" i="2"/>
  <c r="P1035" i="2"/>
  <c r="P1034" i="2"/>
  <c r="P1033" i="2"/>
  <c r="P1030" i="2"/>
  <c r="P1023" i="2"/>
  <c r="P1022" i="2"/>
  <c r="P1021" i="2"/>
  <c r="P1020" i="2"/>
  <c r="P1019" i="2"/>
  <c r="P1018" i="2"/>
  <c r="P1016" i="2"/>
  <c r="P1015" i="2"/>
  <c r="P1014" i="2"/>
  <c r="P1013" i="2"/>
  <c r="P1011" i="2"/>
  <c r="P1010" i="2"/>
  <c r="P1009" i="2"/>
  <c r="P1008" i="2"/>
  <c r="P1007" i="2"/>
  <c r="P1005" i="2"/>
  <c r="P1003" i="2"/>
  <c r="P1001" i="2"/>
  <c r="P998" i="2"/>
  <c r="P997" i="2"/>
  <c r="P996" i="2"/>
  <c r="P994" i="2"/>
  <c r="P993" i="2"/>
  <c r="P992" i="2"/>
  <c r="P991" i="2"/>
  <c r="P990" i="2"/>
  <c r="P989" i="2"/>
  <c r="P986" i="2"/>
  <c r="P985" i="2"/>
  <c r="P984" i="2"/>
  <c r="P982" i="2"/>
  <c r="P980" i="2"/>
  <c r="P979" i="2"/>
  <c r="P978" i="2"/>
  <c r="P977" i="2"/>
  <c r="P974" i="2"/>
  <c r="P973" i="2"/>
  <c r="P969" i="2"/>
  <c r="P967" i="2"/>
  <c r="P963" i="2"/>
  <c r="P959" i="2"/>
  <c r="P956" i="2"/>
  <c r="P954" i="2"/>
  <c r="P953" i="2"/>
  <c r="P948" i="2"/>
  <c r="P947" i="2"/>
  <c r="P946" i="2"/>
  <c r="P945" i="2"/>
  <c r="P939" i="2"/>
  <c r="P935" i="2"/>
  <c r="P925" i="2"/>
  <c r="P920" i="2"/>
  <c r="P916" i="2"/>
  <c r="P914" i="2"/>
  <c r="P913" i="2"/>
  <c r="P907" i="2"/>
  <c r="P905" i="2"/>
  <c r="P904" i="2"/>
  <c r="P903" i="2"/>
  <c r="P901" i="2"/>
  <c r="P899" i="2"/>
  <c r="P897" i="2"/>
  <c r="P896" i="2"/>
  <c r="P890" i="2"/>
  <c r="P888" i="2"/>
  <c r="P887" i="2"/>
  <c r="P879" i="2"/>
  <c r="P878" i="2"/>
  <c r="P872" i="2"/>
  <c r="P870" i="2"/>
  <c r="P867" i="2"/>
  <c r="P863" i="2"/>
  <c r="P859" i="2"/>
  <c r="P858" i="2"/>
  <c r="P855" i="2"/>
  <c r="P851" i="2"/>
  <c r="P847" i="2"/>
  <c r="P846" i="2"/>
  <c r="P844" i="2"/>
  <c r="P842" i="2"/>
  <c r="P841" i="2"/>
  <c r="P835" i="2"/>
  <c r="P834" i="2"/>
  <c r="P833" i="2"/>
  <c r="P832" i="2"/>
  <c r="P829" i="2"/>
  <c r="P828" i="2"/>
  <c r="P827" i="2"/>
  <c r="P826" i="2"/>
  <c r="P821" i="2"/>
  <c r="P819" i="2"/>
  <c r="P813" i="2"/>
  <c r="P807" i="2"/>
  <c r="P805" i="2"/>
  <c r="P801" i="2"/>
  <c r="P796" i="2"/>
  <c r="P795" i="2"/>
  <c r="P793" i="2"/>
  <c r="P792" i="2"/>
  <c r="P791" i="2"/>
  <c r="P788" i="2"/>
  <c r="P787" i="2"/>
  <c r="P785" i="2"/>
  <c r="P781" i="2"/>
  <c r="P779" i="2"/>
  <c r="P777" i="2"/>
  <c r="P775" i="2"/>
  <c r="P774" i="2"/>
  <c r="P773" i="2"/>
  <c r="P772" i="2"/>
  <c r="P771" i="2"/>
  <c r="P764" i="2"/>
  <c r="P758" i="2"/>
  <c r="P756" i="2"/>
  <c r="P755" i="2"/>
  <c r="P753" i="2"/>
  <c r="P752" i="2"/>
  <c r="P745" i="2"/>
  <c r="P729" i="2"/>
  <c r="P727" i="2"/>
  <c r="P726" i="2"/>
  <c r="P721" i="2"/>
  <c r="P718" i="2"/>
  <c r="P715" i="2"/>
  <c r="P714" i="2"/>
  <c r="P708" i="2"/>
  <c r="P705" i="2"/>
  <c r="P704" i="2"/>
  <c r="P698" i="2"/>
  <c r="P696" i="2"/>
  <c r="P688" i="2"/>
  <c r="P685" i="2"/>
  <c r="P684" i="2"/>
  <c r="P683" i="2"/>
  <c r="P682" i="2"/>
  <c r="P681" i="2"/>
  <c r="P680" i="2"/>
  <c r="P674" i="2"/>
  <c r="P673" i="2"/>
  <c r="P672" i="2"/>
  <c r="P671" i="2"/>
  <c r="P670" i="2"/>
  <c r="P669" i="2"/>
  <c r="P668" i="2"/>
  <c r="P662" i="2"/>
  <c r="P659" i="2"/>
  <c r="P652" i="2"/>
  <c r="P650" i="2"/>
  <c r="P648" i="2"/>
  <c r="P647" i="2"/>
  <c r="P645" i="2"/>
  <c r="P643" i="2"/>
  <c r="P641" i="2"/>
  <c r="P640" i="2"/>
  <c r="P639" i="2"/>
  <c r="P638" i="2"/>
  <c r="P637" i="2"/>
  <c r="P635" i="2"/>
  <c r="P633" i="2"/>
  <c r="P632" i="2"/>
  <c r="P630" i="2"/>
  <c r="P629" i="2"/>
  <c r="P628" i="2"/>
  <c r="P627" i="2"/>
  <c r="P626" i="2"/>
  <c r="P625" i="2"/>
  <c r="P624" i="2"/>
  <c r="P623" i="2"/>
  <c r="P620" i="2"/>
  <c r="P619" i="2"/>
  <c r="P618" i="2"/>
  <c r="P615" i="2"/>
  <c r="P613" i="2"/>
  <c r="P611" i="2"/>
  <c r="P608" i="2"/>
  <c r="P607" i="2"/>
  <c r="P604" i="2"/>
  <c r="P603" i="2"/>
  <c r="P599" i="2"/>
  <c r="P597" i="2"/>
  <c r="P595" i="2"/>
  <c r="P594" i="2"/>
  <c r="P593" i="2"/>
  <c r="P592" i="2"/>
  <c r="P591" i="2"/>
  <c r="P590" i="2"/>
  <c r="P589" i="2"/>
  <c r="P587" i="2"/>
  <c r="P586" i="2"/>
  <c r="P585" i="2"/>
  <c r="P584" i="2"/>
  <c r="P583" i="2"/>
  <c r="P572" i="2"/>
  <c r="P569" i="2"/>
  <c r="P568" i="2"/>
  <c r="P567" i="2"/>
  <c r="P551" i="2"/>
  <c r="P548" i="2"/>
  <c r="P547" i="2"/>
  <c r="P544" i="2"/>
  <c r="P540" i="2"/>
  <c r="P536" i="2"/>
  <c r="P535" i="2"/>
  <c r="P534" i="2"/>
  <c r="P527" i="2"/>
  <c r="P521" i="2"/>
  <c r="P518" i="2"/>
  <c r="P516" i="2"/>
  <c r="P514" i="2"/>
  <c r="P513" i="2"/>
  <c r="P508" i="2"/>
  <c r="P500" i="2"/>
  <c r="P498" i="2"/>
  <c r="P497" i="2"/>
  <c r="P495" i="2"/>
  <c r="P481" i="2"/>
  <c r="P479" i="2"/>
  <c r="P478" i="2"/>
  <c r="P477" i="2"/>
  <c r="P474" i="2"/>
  <c r="P473" i="2"/>
  <c r="P471" i="2"/>
  <c r="P470" i="2"/>
  <c r="P468" i="2"/>
  <c r="P464" i="2"/>
  <c r="P463" i="2"/>
  <c r="P456" i="2"/>
  <c r="P455" i="2"/>
  <c r="P454" i="2"/>
  <c r="P445" i="2"/>
  <c r="P443" i="2"/>
  <c r="P438" i="2"/>
  <c r="P430" i="2"/>
  <c r="P423" i="2"/>
  <c r="P415" i="2"/>
  <c r="P412" i="2"/>
  <c r="P411" i="2"/>
  <c r="P409" i="2"/>
  <c r="P406" i="2"/>
  <c r="P402" i="2"/>
  <c r="P400" i="2"/>
  <c r="P396" i="2"/>
  <c r="P391" i="2"/>
  <c r="P389" i="2"/>
  <c r="P388" i="2"/>
  <c r="P387" i="2"/>
  <c r="P382" i="2"/>
  <c r="P378" i="2"/>
  <c r="P377" i="2"/>
  <c r="P376" i="2"/>
  <c r="P375" i="2"/>
  <c r="P371" i="2"/>
  <c r="P367" i="2"/>
  <c r="P362" i="2"/>
  <c r="P357" i="2"/>
  <c r="P353" i="2"/>
  <c r="P349" i="2"/>
  <c r="P347" i="2"/>
  <c r="P343" i="2"/>
  <c r="P342" i="2"/>
  <c r="P341" i="2"/>
  <c r="P340" i="2"/>
  <c r="P328" i="2"/>
  <c r="P323" i="2"/>
  <c r="P317" i="2"/>
  <c r="P316" i="2"/>
  <c r="P312" i="2"/>
  <c r="P309" i="2"/>
  <c r="P307" i="2"/>
  <c r="P302" i="2"/>
  <c r="P300" i="2"/>
  <c r="P299" i="2"/>
  <c r="P298" i="2"/>
  <c r="P296" i="2"/>
  <c r="P294" i="2"/>
  <c r="P291" i="2"/>
  <c r="P285" i="2"/>
  <c r="P282" i="2"/>
  <c r="P276" i="2"/>
  <c r="P274" i="2"/>
  <c r="P272" i="2"/>
  <c r="P270" i="2"/>
  <c r="P269" i="2"/>
  <c r="P266" i="2"/>
  <c r="P263" i="2"/>
  <c r="P262" i="2"/>
  <c r="P261" i="2"/>
  <c r="P260" i="2"/>
  <c r="P226" i="2"/>
  <c r="P223" i="2"/>
  <c r="P219" i="2"/>
  <c r="P218" i="2"/>
  <c r="P211" i="2"/>
  <c r="P210" i="2"/>
  <c r="P205" i="2"/>
  <c r="P183" i="2"/>
  <c r="P182" i="2"/>
  <c r="P180" i="2"/>
  <c r="P178" i="2"/>
  <c r="P170" i="2"/>
  <c r="P167" i="2"/>
  <c r="P159" i="2"/>
  <c r="P152" i="2"/>
  <c r="P121" i="2"/>
  <c r="P119" i="2"/>
  <c r="P107" i="2"/>
  <c r="P106" i="2"/>
  <c r="P101" i="2"/>
  <c r="P84" i="2"/>
  <c r="P81" i="2"/>
  <c r="P78" i="2"/>
  <c r="P76" i="2"/>
  <c r="P75" i="2"/>
  <c r="P72" i="2"/>
  <c r="P59" i="2"/>
  <c r="P52" i="2"/>
  <c r="P50" i="2"/>
  <c r="P41" i="2"/>
  <c r="P26" i="2"/>
  <c r="P10" i="2"/>
  <c r="P7" i="2"/>
  <c r="P3" i="2"/>
  <c r="P213" i="1"/>
  <c r="P1215" i="1"/>
  <c r="P833" i="1"/>
  <c r="P1053" i="1"/>
  <c r="P1019" i="1"/>
  <c r="P1040" i="1"/>
  <c r="P1154" i="1"/>
  <c r="P286" i="1"/>
  <c r="P632" i="1"/>
  <c r="P971" i="1"/>
  <c r="P612" i="1"/>
  <c r="P1224" i="1"/>
  <c r="P548" i="1"/>
  <c r="P499" i="1"/>
  <c r="P595" i="1"/>
  <c r="P597" i="1"/>
  <c r="P1218" i="1"/>
  <c r="P643" i="1"/>
  <c r="P1165" i="1"/>
  <c r="P894" i="1"/>
  <c r="P645" i="1"/>
  <c r="P1251" i="1"/>
  <c r="P379" i="1"/>
  <c r="P182" i="1"/>
  <c r="P823" i="1"/>
  <c r="P531" i="1"/>
  <c r="P666" i="1"/>
  <c r="P447" i="1"/>
  <c r="P722" i="1"/>
  <c r="P1026" i="1"/>
  <c r="P1081" i="1"/>
  <c r="P958" i="1"/>
  <c r="P977" i="1"/>
  <c r="P1064" i="1"/>
  <c r="P845" i="1"/>
  <c r="P883" i="1"/>
  <c r="P781" i="1"/>
  <c r="P207" i="1"/>
  <c r="P1172" i="1"/>
  <c r="P656" i="1"/>
  <c r="P1223" i="1"/>
  <c r="P1212" i="1"/>
  <c r="P831" i="1"/>
  <c r="P594" i="1"/>
  <c r="P627" i="1"/>
  <c r="P1106" i="1"/>
  <c r="P1015" i="1"/>
  <c r="P634" i="1"/>
  <c r="P74" i="1"/>
  <c r="P468" i="1"/>
  <c r="P929" i="1"/>
  <c r="P1105" i="1"/>
  <c r="P688" i="1"/>
  <c r="P161" i="1"/>
  <c r="P413" i="1"/>
  <c r="P77" i="1"/>
  <c r="P1192" i="1"/>
  <c r="P963" i="1"/>
  <c r="P588" i="1"/>
  <c r="P410" i="1"/>
  <c r="P353" i="1"/>
  <c r="P1258" i="1"/>
  <c r="P485" i="1"/>
  <c r="P718" i="1"/>
  <c r="P1234" i="1"/>
  <c r="P839" i="1"/>
  <c r="P785" i="1"/>
  <c r="P43" i="1"/>
  <c r="P276" i="1"/>
  <c r="P419" i="1"/>
  <c r="P263" i="1"/>
  <c r="P1013" i="1"/>
  <c r="P380" i="1"/>
  <c r="P472" i="1"/>
  <c r="P623" i="1"/>
  <c r="P346" i="1"/>
  <c r="P1076" i="1"/>
  <c r="P777" i="1"/>
  <c r="P1231" i="1"/>
  <c r="P220" i="1"/>
  <c r="P825" i="1"/>
  <c r="P805" i="1"/>
  <c r="P628" i="1"/>
  <c r="P903" i="1"/>
  <c r="P1024" i="1"/>
  <c r="P406" i="1"/>
  <c r="P313" i="1"/>
  <c r="P911" i="1"/>
  <c r="P1203" i="1"/>
  <c r="P603" i="1"/>
  <c r="P624" i="1"/>
  <c r="P1153" i="1"/>
  <c r="P540" i="1"/>
  <c r="P709" i="1"/>
  <c r="P760" i="1"/>
  <c r="P599" i="1"/>
  <c r="P303" i="1"/>
  <c r="P512" i="1"/>
  <c r="P1126" i="1"/>
  <c r="P1210" i="1"/>
  <c r="P539" i="1"/>
  <c r="P481" i="1"/>
  <c r="P863" i="1"/>
  <c r="P719" i="1"/>
  <c r="P501" i="1"/>
  <c r="P1143" i="1"/>
  <c r="P776" i="1"/>
  <c r="P1273" i="1"/>
  <c r="P544" i="1"/>
  <c r="P631" i="1"/>
  <c r="P1265" i="1"/>
  <c r="P311" i="1"/>
  <c r="P1136" i="1"/>
  <c r="P951" i="1"/>
  <c r="P783" i="1"/>
  <c r="P615" i="1"/>
  <c r="P759" i="1"/>
  <c r="P478" i="1"/>
  <c r="P591" i="1"/>
  <c r="P907" i="1"/>
  <c r="P702" i="1"/>
  <c r="P1131" i="1"/>
  <c r="P300" i="1"/>
  <c r="P522" i="1"/>
  <c r="P1168" i="1"/>
  <c r="P306" i="1"/>
  <c r="P273" i="1"/>
  <c r="P1179" i="1"/>
  <c r="P332" i="1"/>
  <c r="P266" i="1"/>
  <c r="P8" i="1"/>
  <c r="P1060" i="1"/>
  <c r="P320" i="1"/>
  <c r="P1054" i="1"/>
  <c r="P1175" i="1"/>
  <c r="P795" i="1"/>
  <c r="P347" i="1"/>
  <c r="P61" i="1"/>
  <c r="P642" i="1"/>
  <c r="P1023" i="1"/>
  <c r="P1020" i="1"/>
  <c r="P607" i="1"/>
  <c r="P791" i="1"/>
  <c r="P984" i="1"/>
  <c r="P121" i="1"/>
  <c r="P1305" i="1"/>
  <c r="P1213" i="1"/>
  <c r="P789" i="1"/>
  <c r="P756" i="1"/>
  <c r="P1185" i="1"/>
  <c r="P525" i="1"/>
  <c r="P920" i="1"/>
  <c r="P1308" i="1"/>
  <c r="P762" i="1"/>
  <c r="P80" i="1"/>
  <c r="P185" i="1"/>
  <c r="P316" i="1"/>
  <c r="P345" i="1"/>
  <c r="P108" i="1"/>
  <c r="P415" i="1"/>
  <c r="P571" i="1"/>
  <c r="P449" i="1"/>
  <c r="P1214" i="1"/>
  <c r="P1177" i="1"/>
  <c r="P1232" i="1"/>
  <c r="P901" i="1"/>
  <c r="P1195" i="1"/>
  <c r="P990" i="1"/>
  <c r="P278" i="1"/>
  <c r="P862" i="1"/>
  <c r="P876" i="1"/>
  <c r="P1074" i="1"/>
  <c r="P573" i="1"/>
  <c r="P855" i="1"/>
  <c r="P652" i="1"/>
  <c r="P654" i="1"/>
  <c r="P86" i="1"/>
  <c r="P458" i="1"/>
  <c r="P924" i="1"/>
  <c r="P289" i="1"/>
  <c r="P180" i="1"/>
  <c r="P54" i="1"/>
  <c r="P983" i="1"/>
  <c r="P381" i="1"/>
  <c r="P1284" i="1"/>
  <c r="P687" i="1"/>
  <c r="P778" i="1"/>
  <c r="P633" i="1"/>
  <c r="P302" i="1"/>
  <c r="P596" i="1"/>
  <c r="P589" i="1"/>
  <c r="P622" i="1"/>
  <c r="P1259" i="1"/>
  <c r="P460" i="1"/>
  <c r="P3" i="1"/>
  <c r="P674" i="1"/>
  <c r="P712" i="1"/>
  <c r="P483" i="1"/>
  <c r="P1189" i="1"/>
  <c r="P598" i="1"/>
  <c r="P608" i="1"/>
  <c r="P1217" i="1"/>
  <c r="P434" i="1"/>
  <c r="P637" i="1"/>
  <c r="P1236" i="1"/>
  <c r="P1190" i="1"/>
  <c r="P601" i="1"/>
  <c r="P749" i="1"/>
  <c r="P800" i="1"/>
  <c r="P619" i="1"/>
  <c r="P1288" i="1"/>
  <c r="P960" i="1"/>
  <c r="P1240" i="1"/>
  <c r="P685" i="1"/>
  <c r="P892" i="1"/>
  <c r="P1166" i="1"/>
  <c r="P949" i="1"/>
  <c r="P361" i="1"/>
  <c r="P1289" i="1"/>
  <c r="P344" i="1"/>
  <c r="P689" i="1"/>
  <c r="P391" i="1"/>
  <c r="P1157" i="1"/>
  <c r="P692" i="1"/>
  <c r="P593" i="1"/>
  <c r="P867" i="1"/>
  <c r="P517" i="1"/>
  <c r="P442" i="1"/>
  <c r="P482" i="1"/>
  <c r="P676" i="1"/>
  <c r="P636" i="1"/>
  <c r="P1303" i="1"/>
  <c r="P838" i="1"/>
  <c r="P221" i="1"/>
  <c r="P504" i="1"/>
  <c r="P1221" i="1"/>
  <c r="P1186" i="1"/>
  <c r="P725" i="1"/>
  <c r="P651" i="1"/>
  <c r="P1045" i="1"/>
  <c r="P295" i="1"/>
  <c r="P733" i="1"/>
  <c r="P1247" i="1"/>
  <c r="P1038" i="1"/>
  <c r="P1027" i="1"/>
  <c r="P673" i="1"/>
  <c r="P552" i="1"/>
  <c r="P1037" i="1"/>
  <c r="P1222" i="1"/>
  <c r="P351" i="1"/>
  <c r="P474" i="1"/>
  <c r="P757" i="1"/>
  <c r="P1194" i="1"/>
  <c r="P797" i="1"/>
  <c r="P677" i="1"/>
  <c r="P649" i="1"/>
  <c r="P1207" i="1"/>
  <c r="P998" i="1"/>
  <c r="P123" i="1"/>
  <c r="P1176" i="1"/>
  <c r="P551" i="1"/>
  <c r="P1311" i="1"/>
  <c r="P957" i="1"/>
  <c r="P393" i="1"/>
  <c r="P874" i="1"/>
  <c r="P1233" i="1"/>
  <c r="P327" i="1"/>
  <c r="P520" i="1"/>
  <c r="P467" i="1"/>
  <c r="P1061" i="1"/>
  <c r="P986" i="1"/>
  <c r="P686" i="1"/>
  <c r="P228" i="1"/>
  <c r="P225" i="1"/>
  <c r="P850" i="1"/>
  <c r="P502" i="1"/>
  <c r="P1051" i="1"/>
  <c r="P1127" i="1"/>
  <c r="P404" i="1"/>
  <c r="P1014" i="1"/>
  <c r="P768" i="1"/>
  <c r="P967" i="1"/>
  <c r="P973" i="1"/>
  <c r="P952" i="1"/>
  <c r="P663" i="1"/>
  <c r="P555" i="1"/>
  <c r="P996" i="1"/>
  <c r="P943" i="1"/>
  <c r="P678" i="1"/>
  <c r="P1005" i="1"/>
  <c r="P572" i="1"/>
  <c r="P871" i="1"/>
  <c r="P988" i="1"/>
  <c r="P1012" i="1"/>
  <c r="P366" i="1"/>
  <c r="P280" i="1"/>
  <c r="P617" i="1"/>
  <c r="P775" i="1"/>
  <c r="P905" i="1"/>
  <c r="P1312" i="1"/>
  <c r="P900" i="1"/>
  <c r="P576" i="1"/>
  <c r="P939" i="1"/>
  <c r="P1000" i="1"/>
  <c r="P1282" i="1"/>
  <c r="P917" i="1"/>
  <c r="P700" i="1"/>
  <c r="P817" i="1"/>
  <c r="P78" i="1"/>
  <c r="P538" i="1"/>
  <c r="P846" i="1"/>
  <c r="P1309" i="1"/>
  <c r="P809" i="1"/>
  <c r="P848" i="1"/>
  <c r="P1150" i="1"/>
  <c r="P1285" i="1"/>
  <c r="P1287" i="1"/>
  <c r="P1039" i="1"/>
  <c r="P1011" i="1"/>
  <c r="P882" i="1"/>
  <c r="P386" i="1"/>
  <c r="P611" i="1"/>
  <c r="P1058" i="1"/>
  <c r="P891" i="1"/>
  <c r="P172" i="1"/>
  <c r="P83" i="1"/>
  <c r="P459" i="1"/>
  <c r="P950" i="1"/>
  <c r="P909" i="1"/>
  <c r="P395" i="1"/>
  <c r="P357" i="1"/>
  <c r="P269" i="1"/>
  <c r="P859" i="1"/>
  <c r="P427" i="1"/>
  <c r="P918" i="1"/>
  <c r="P908" i="1"/>
  <c r="P375" i="1"/>
  <c r="P851" i="1"/>
  <c r="P731" i="1"/>
  <c r="P11" i="1"/>
  <c r="P672" i="1"/>
  <c r="P982" i="1"/>
  <c r="P1151" i="1"/>
  <c r="P1063" i="1"/>
  <c r="P1034" i="1"/>
  <c r="P298" i="1"/>
  <c r="P371" i="1"/>
  <c r="P1047" i="1"/>
  <c r="P264" i="1"/>
  <c r="P675" i="1"/>
  <c r="P265" i="1"/>
  <c r="P1066" i="1"/>
  <c r="P644" i="1"/>
  <c r="P416" i="1"/>
  <c r="P1245" i="1"/>
  <c r="P1183" i="1"/>
  <c r="P304" i="1"/>
  <c r="P587" i="1"/>
  <c r="P1017" i="1"/>
  <c r="P1018" i="1"/>
  <c r="P400" i="1"/>
  <c r="P272" i="1"/>
  <c r="P1144" i="1"/>
  <c r="P994" i="1"/>
  <c r="P995" i="1"/>
  <c r="P1291" i="1"/>
  <c r="P1237" i="1"/>
  <c r="P184" i="1"/>
  <c r="P1300" i="1"/>
  <c r="P997" i="1"/>
  <c r="P730" i="1"/>
  <c r="P392" i="1"/>
  <c r="P1068" i="1"/>
  <c r="P981" i="1"/>
  <c r="P1002" i="1"/>
  <c r="P169" i="1"/>
  <c r="P109" i="1"/>
  <c r="P1295" i="1"/>
  <c r="P647" i="1"/>
  <c r="P1230" i="1"/>
  <c r="P27" i="1"/>
  <c r="P779" i="1"/>
  <c r="P1022" i="1"/>
  <c r="P475" i="1"/>
  <c r="P1286" i="1"/>
  <c r="P811" i="1"/>
  <c r="P1009" i="1"/>
  <c r="P641" i="1"/>
  <c r="P321" i="1"/>
  <c r="P830" i="1"/>
  <c r="P993" i="1"/>
  <c r="P799" i="1"/>
  <c r="P382" i="1"/>
  <c r="P1206" i="1"/>
  <c r="P978" i="1"/>
  <c r="P837" i="1"/>
  <c r="P630" i="1"/>
  <c r="P796" i="1"/>
  <c r="P639" i="1"/>
  <c r="P1294" i="1"/>
  <c r="P1070" i="1"/>
  <c r="P212" i="1"/>
  <c r="P154" i="1"/>
  <c r="P684" i="1"/>
  <c r="P590" i="1"/>
  <c r="P1296" i="1"/>
  <c r="P832" i="1"/>
  <c r="P989" i="1"/>
  <c r="P1007" i="1"/>
  <c r="P836" i="1"/>
  <c r="P1001" i="1"/>
  <c r="P103" i="1"/>
  <c r="P52" i="1"/>
  <c r="P1268" i="1"/>
  <c r="P629" i="1"/>
  <c r="P792" i="1"/>
  <c r="P518" i="1"/>
  <c r="P708" i="1"/>
  <c r="P477" i="1"/>
  <c r="P1283" i="1"/>
  <c r="P1057" i="1"/>
  <c r="P1025" i="1"/>
  <c r="P1238" i="1"/>
  <c r="P1306" i="1"/>
</calcChain>
</file>

<file path=xl/sharedStrings.xml><?xml version="1.0" encoding="utf-8"?>
<sst xmlns="http://schemas.openxmlformats.org/spreadsheetml/2006/main" count="20461" uniqueCount="7127">
  <si>
    <t>J</t>
  </si>
  <si>
    <t>Abarca-Brown, Gabriel</t>
  </si>
  <si>
    <t>Structuralizing Culture: Multicultural Neoliberalism, Migration, and Mental Health in Santiago, Chile</t>
  </si>
  <si>
    <t>CULTURE MEDICINE AND PSYCHIATRY</t>
  </si>
  <si>
    <t>Migration; Multicultural neoliberalism; Structure-based approach; Intersectionality; Chile</t>
  </si>
  <si>
    <t>The arrival of Afro-descendant migrants, mainly from Haiti and the Dominican Republic, has led to the emergence of new discourses on migration, multiculturalism, and mental health in health services in Chile since 2010. In this article, I explore how mental health institutions, experts, and practitioners have taken a cultural turn in working with migrant communities in this new multicultural scenario. Based on a multisited ethnography conducted over 14 months in a neighbourhood of northern Santiago, I focus on the Migrant Program-a primary health care initiative implemented since 2013. I argue that health practitioners have tended to redefine cultural approaches in structural terms focusing mainly on class aspects such poverty, social stratification, and socioeconomic inequalities. I affirm that this structural-based approach finds its historical roots in a political and ideological context that provided the conditions for the development of community psychiatry experiences during the 1960s and 1970s, as well as in multicultural and gender policies promoted by the state since the 1990s. This case reveals how health institutions and practitioners have recently engaged in debates on migration and intersectionality from a structural approach in Chile.</t>
  </si>
  <si>
    <t/>
  </si>
  <si>
    <t>10.1007/s11013-024-09858-4</t>
  </si>
  <si>
    <t>Becoming a (Neuro)migrant: Haitian Migration, Translation and Subjectivation in Santiago, Chile</t>
  </si>
  <si>
    <t>MEDICAL ANTHROPOLOGY</t>
  </si>
  <si>
    <t>Article</t>
  </si>
  <si>
    <t>Chile; Haitian migration; psy technologies; translation; neurobiology; moral frameworks; Migracion haitiana; Tecnologias Psi; Traduccion; Neurobiologia; Marcos Morales</t>
  </si>
  <si>
    <t>Based on a multi-sited ethnography conducted over 14 months in northern Santiago, I examine how the introduction of a series of health policies and the global mental health agenda has interacted with and impacted Haitian migrants in the context of a postdictatorship neoliberal Chile (1990-2019). Specifically, I explore the interactions between health and social institutions, mental health practitioners, psy technologies, and Haitian migrants, highlighting migrants' subjectivation processes and everyday life. I argue that Haitian migrants engage with heterogeneous subjectivation processes in their interactions with health and social institutions, challenging normative values of integration into Chilean society. These processes are marked not only by the presence of, or exposure to, psy interventions and mental health discourses but also by the degree of compatibility between a psychiatric and neurological language and Haitians' ideals and moral frameworks. A partir de una etnografia multi-situada llevada a cabo durante 14 meses en el norte de Santiago, examino como la introduccion de una serie de politicas de salud y de la agenda de salud mental global ha interactuado e impactado a los migrantes haitianos en el contexto del Chile neoliberal posdictadura (1990-2019). Especificamente, exploro las interacciones entre instituciones sociales y de salud, profesionales de salud mental, tecnologias psi y migrantes haitianos, destacando procesos de subjetivacion y la vida cotidiana de los migrantes. Sostengo que los migrantes haitianos participan en procesos de subjetivacion heterogeneos en sus interacciones con instituciones sociales y de salud, desafiando valores normativos de integracion a la sociedad chilena. Estos procesos estan marcados no solo por la presencia, o exposicion a, intervenciones psi y discursos sobre salud mental, sino tambien por el grado de compatibilidad entre un lenguaje psiquiatrico y neurologico y los ideales y marcos morales de los haitianos.</t>
  </si>
  <si>
    <t>10.1080/01459740.2024.2324890</t>
  </si>
  <si>
    <t>Becoming a (Neuro)Migrant: Attachment, Early Stimulation, and the Government of the Future of Chile</t>
  </si>
  <si>
    <t>SCIENCE TECHNOLOGY &amp; HUMAN VALUES</t>
  </si>
  <si>
    <t>migration; attachment; early stimulation; epigenetics; neurosciences; Chile</t>
  </si>
  <si>
    <t>The encounters between health institutions, practitioners, and Haitian and Dominican communities have triggered several frictions and conflicts in the public health system in Chile since 2010, especially in maternal child health. In this article, I explore the interactions between health institutions, psy technologies, and afro-descendant women registered in the Chile Crece Contigo program and how these interactions impact women's subjectivity and everyday lives. Developmental sciences, especially neurosciences, play a crucial role in the program by promoting comprehensive childhood development. I argue that the entanglements between attachment theory, neurosciences, and epigenetics gained authority for health practitioners and shaped migrants' representations of motherhood and child-rearing anchored in neurobiology. Although health institutions have encouraged the adoption of cultural competencies, practitioners' interventions have tended to promote a neurobiological understanding of attachment and early stimulation, neglecting moral and contextual aspects involved in migrants' parenting practices. Interventions have delineated representations of (ab)normal motherhood and childhood, shaping moral ideals of children's development and a migrant citizenship project for the future of Chile. I also argue that by placing concerns on the table about migrant children's neurobiological development and social vulnerability, the program has shaped what some researchers call the neuroscience of poverty.</t>
  </si>
  <si>
    <t>10.1177/01622439231167665</t>
  </si>
  <si>
    <t>Abarca-Brown, Gabriel; Montenegro, Cristian</t>
  </si>
  <si>
    <t>[en] (De)colonization runs deep: Mental health professionals working with Haitian migrants and activist mental health user and ex-user groups in Chile</t>
  </si>
  <si>
    <t>REVISTA DE ANTROPOLOGIA SOCIAL</t>
  </si>
  <si>
    <t>decolonization; psy-disciplines; Haitian migration; activist service-user and ex user groups; Chile</t>
  </si>
  <si>
    <t>We explore the epistemic, political, and ethical contradictions and conflicts that mental health practitioners embody in their work and interaction with Haitian migrants and activist service-user and ex-user groups in the public health system in Chile -marked by neoliberalization processes during the last thirty years. Based on two ethnographies, we argue that the work with both groups interrogates mental health practitioners regarding the scope of their disciplines and on a professional-individual level. Rather than passively reproducing discourses and practices of domination, practitioners embody contradictions and conflicts triggered by the incompatibility between psy-disciplines; the knowledge and practices anchored in Haitian-Creole medicine and Vodou; and the radical questioning of diagnoses and treatments developed by activist service-user and ex-user groups. Practitioners question and challenge the universalist conceptions of identity, the mind, suffering, and treatment. Rather than an intellectual exercise, we emphasize that a call for decolonization implies the politicization of professional practice in -or outside- the borders of psychiatry and mental health as a system of government.</t>
  </si>
  <si>
    <t>10.5209/raso.91746</t>
  </si>
  <si>
    <t>Abdelwahed A.; Goujon A.; Jiang L.</t>
  </si>
  <si>
    <t>The migration intentions of young egyptians</t>
  </si>
  <si>
    <t>Sustainability (Switzerland)</t>
  </si>
  <si>
    <t>Arab Spring; Egypt; Intention; MENA; Migration; Youth</t>
  </si>
  <si>
    <t>This study examines the migration intentions of young people in Egypt before and after the 2011 revolution, driven by three sets of factors: (1) individual demographic and socioeconomic characteristics, (2) household characteristics, and (3) community characteristics and political and civic participation. Logistic regression models are applied to study the determinants of intentions to live, study, or work abroad among young Egyptians (defined as individuals aged 18 to 29), using data from the Survey of Young People in Egypt (SYPE) conducted in 2009 (N = 8488) and in 2014 (N = 5885). The surveys are nationally representative, covering all governorates in Egypt. The analysis indicates that respondents’ age, gender, marital status, and employment status play a significant role in shaping migration intentions. After the 2011 revolution, the effects are dependent upon economic and institutional conditions. The employment status affects the migration intention of young people in 2009; but the effects become insignificant in 2014. Moreover, respondents who have participated in political and voluntary activities are more likely to express migration intentions. Pollution levels in the community are also positively correlated with the intention to migrate. The results indicate that those who expressed migration intentions are a selective group in terms of demographic and socioeconomic characteristics. Our findings have policy relevance because knowledge and understanding of migration intentions and their determinants can be used to assess and develop scenarios about future migration. © 2020 by the authors. Licensee MDPI, Basel, Switzerland. T.</t>
  </si>
  <si>
    <t>10.3390/su12239803</t>
  </si>
  <si>
    <t>Book</t>
  </si>
  <si>
    <t>Abiuso F.L.</t>
  </si>
  <si>
    <t>Police, politics and the immigration-crime nexus: Speeches, statistics and testimonies of the Buenos Aires context</t>
  </si>
  <si>
    <t>Police, Politics and the Immigration-Crime Nexus: Speeches, Statistics and Testimonies of the Buenos Aires Context</t>
  </si>
  <si>
    <t>Crimmigration; Immigration detention; Migration; Political rhetoric; Political sociology; Racism; Victimisation; Vulnerability</t>
  </si>
  <si>
    <t>This book examines the relationship between immigration, crime, police and politics in the city of Buenos Aires during the Cambiemos ("Let's Change") administration, which took place in Argentina between 2015 and 2019. It draws on semi-structured interviews with migrants to offer insights into interactions between police and migrants, narratives of police violence, police attitudes towards migrants, the nexus between police and politics and the perception of the vulnerability of the migratory community of belonging to police action. Using a mixed methods approach, it also draws on secondary quantitative data regarding police practices of detention of migrants and examines political discourses around the immigration-crime association. In essence, it discusses the changes in attitude of the police towards different ethnic-national groups during the administration Cambiemos. In this sense, it presents empirical research and methodological insights fromthe Global South. © The Editor(s) (if applicable) and The Author(s), under exclusive license to Springer Nature Switzerland AG 2023. All rights reserved.</t>
  </si>
  <si>
    <t>10.1007/978-3-031-46379-2</t>
  </si>
  <si>
    <t>Abufhele, Alejandra; Herskovic, Luis; Alarcon, Samanta</t>
  </si>
  <si>
    <t>Higher education trajectories of migrants and the role of age of arrival: evidence from native and migrant students in Chile</t>
  </si>
  <si>
    <t>HIGHER EDUCATION</t>
  </si>
  <si>
    <t>Enrollment; Academic performance; University entrance exams; Immigration</t>
  </si>
  <si>
    <t>Higher education is a powerful tool for migrant integration into destination countries. This paper presents an empirical comparison between native and migrant students in Chile, focusing on their trajectory through different transitions: high school graduation, performance on university entrance exams, and decision to enroll in technical or university higher education. Results show that, when controlling for school performance, natives are more likely to complete every transition compared to migrant students, except in the enrollment to technical higher education where migrants have a higher rate. However, we also show that the timing of arrival to the educational system matters and that the differences between groups completely disappear if migrant students arrive before age 10 in the educational system. Therefore, we expand the educational literature by empirically showing that when migrants enter the school system is crucial. If they arrive early in life, they can have a trajectory similar to that of native students.</t>
  </si>
  <si>
    <t>10.1007/s10734-024-01213-1</t>
  </si>
  <si>
    <t>Aceituno Silva, David; Quinteros Venegas, Jose Manuel</t>
  </si>
  <si>
    <t>Background and Inheritance of the Chilean Dictatorship on Ideas and Legislation on Migration (1953-2018)</t>
  </si>
  <si>
    <t>ANUARIO DE HISTORIA REGIONAL Y DE LAS FRONTERAS</t>
  </si>
  <si>
    <t>Migration; Dictatorship; Democracy; Political Geography; Neoliberalism</t>
  </si>
  <si>
    <t>The migratory situation in Chile has been strained during recent years by the massive influx of foreigners. However, there has been little interest in modifying a regulation that comes from the dictatorship. It was proposed as an objective to analyze the inheritances of this one as the originalities of the migratory model established since 1975. Through an interpretative and historical analysis, different archives and legal sources were contrasted from the mid-20th century to the present, which were placed in the context of the political and social ideas of the governments and social actors referenced. Among the main results we could see the link of the legislation with nationalist, geopolitical, internal security and neoliberalism principles. It is necessary to look at the recent history of Chile to understand the pillars of the current migration policy. The migratory situation in Chile has been strained during recent years by the massive influx of foreigners. However, there has been little interest in modifying a regulation that comes from the dictatorship. It was proposed as an objective to analyze the inheritances of this one as the originalities of the migratory model established since 1975. Through an interpretative and historical analysis, different archives and legal sources were contrasted from the mid-20th century to the present, which were placed in the context of the political and social ideas of the governments and social actors referenced. Among the main results we could see the link of the legislation with nationalist, geopolitical, internal security and neoliberalism principles. It is necessary to look at the recent history of Chile to understand the pillars of the current migration policy.</t>
  </si>
  <si>
    <t>10.18273/revanu.v24n2-2019002</t>
  </si>
  <si>
    <t>Acosta González, Elaine</t>
  </si>
  <si>
    <t>Mujeres migrantes cuidadoras en flujos migratorios sur-sur y sur-norte: expectativas, experiencias y valoraciones</t>
  </si>
  <si>
    <t>Polis (Santiago)</t>
  </si>
  <si>
    <t>feminization of migrations; care work; subjectivity; south north and south-south migratory flows</t>
  </si>
  <si>
    <t>The paper addresses the problem of subjectivity and everyday experience of female migrant who work as domestic caregivers into two highly feminised migration flows with high concentration of women immigrant in domestic service (Spain and Chile). A comparative approach will be taken to examine south-north and south-south migration flows regards on the expectations and motivations that shape female migration patterns, the me aningof care work in the employment of migrant women in the receiving countries, as well as appraisal and meaning that care work has for its protagonists, both from the emotional perspective as of ‘public good’ production. The results presented here are based on a broader research project whose primary information was obtained from the application of 67 in-depth interviews with different actors involved in the social relation of care.</t>
  </si>
  <si>
    <t>35</t>
  </si>
  <si>
    <t>Acosta, Elaine</t>
  </si>
  <si>
    <t>ENTRE LA NECESIDAD Y EL NO RECONOCIMIENTO: LA VALORACIÓN DE LA DIMENSIÓN TEMPORAL EN LAS ESTRATEGIAS FAMILIARES PARA LA CONTRATACIÓN DE CUIDADORAS DOMÉSTICAS INMIGRANTES EN ESPAÑA Y CHILE</t>
  </si>
  <si>
    <t>SI SOMOS AMERICANOS-REVISTA DE ESTUDIOS TRANSFRONTERIZOS</t>
  </si>
  <si>
    <t>Time; family’s strategies of care; feminine migrations</t>
  </si>
  <si>
    <t>The main aim of this article is to analyze the sense that is attributed to the resource of time in the conformation of the family strategies for the contracting of immigrant careers in the domestic service and the perceptions of immigrant women caregivers on the use of time in the definition and management of their working conditions. Both countries, Spain and Chile, are staple cases showing an increasing feminization in their migration flows, concurrent with a high concentration of immigrant women in the domestic and care sector. In this article, we present a detailed study of the appraisal that the resource of time receives from the perspective of those who need it-the dependent individuals and their families-and the female migrant workers themselves. The analysis and results presented here are just a small part of a much larger research project recently completed. Concerning methodological specifications, this study has used 67 in-depth interviews with different actors who play a role in the domain of care (women immigrant carers, employers and dependents) in Spain and Chile. Our findings show that the resource of time not only is scarce but also is unequally distributed to satisfy the family care demands. It is a matter of multiple inequalities that behave a way differentiated in each migratory destiny.</t>
  </si>
  <si>
    <t>2</t>
  </si>
  <si>
    <t>Acuña E.B.</t>
  </si>
  <si>
    <t>The Republic of the dreams: From the rational of the Republic to the irrational of the dreams; ["La República de los sueños": De lo racional de la República a lo irracional de los sueños]</t>
  </si>
  <si>
    <t>Arbor</t>
  </si>
  <si>
    <t>Ethnicity hispanic-brazilian; Identities; Memory; Migration; Miscegenation</t>
  </si>
  <si>
    <t>The Republic of the dreams is an "Atlantic novel" and as such it develops a narrative on the trip and the memory of a family of Spanish origin in the contemporary Brazil. The work investigates the process of immigration and adjustment of a Galician patriarchal and capitalist, predestined to the social success. A consecration that will go up to his last consequences, coming back to his village, of which went out in 1913, to marry the daughter of a nobleman. Founder of a lineage hispanic-brazilian will remain caught in the profit that he itself interweaves on having taken part of the networks and the oligarchic practices that dominate in the country. Thus the authoress re-composes a statement ethnic-historical where she represents the ethnic segmentation of the condition state-nation and institutes the memory and the culture as elements of resistance.</t>
  </si>
  <si>
    <t>10.3989/arbor.2010.741n1014</t>
  </si>
  <si>
    <t>Acuña-Choque K.; Bazan-Joaquin B.; Malvaceda-Espinoza E.L.; Monroy-Velasco I.R.</t>
  </si>
  <si>
    <t>Social Representations About Migration Among Venezuelan Immigrants Residing in Metropolitan Lima, Peru; [Representaciones sociales sobre la migración en inmigrantes venezolanos residentes en Lima Metropolitana, Perú]</t>
  </si>
  <si>
    <t>Migraciones Internacionales</t>
  </si>
  <si>
    <t>empathic attitude; migration; Peru; social representations; Venezuela</t>
  </si>
  <si>
    <t>This article aims to understand the social representations of migration among Venezuelan immigrants residing in Metropolitan Lima during 2018. Using a phenomenological design, 15 in-depth interviews were conducted, and a hybrid content analysis was performed. Several emerging categories were identified, including motives (primarily political and economic) for migration and its personal, psychosocial, and familial consequences. Regarding the decision-making process, the journey, and limitations for emigration from Venezuela to Peru were evidenced. Additionally, the study revealed an empathetic attitude among migrants, demonstrated through their assistance, concern, and suggestions for improving the situation of migrants. In conclusion, the social representations of migration are shaped by motives, consequences, the decision-making process, and the empathetic attitude, all of which are influenced by the social, cultural, and political characteristics of the receiving country. © 2023, El Colegio de la Frontera Norte. All rights reserved.</t>
  </si>
  <si>
    <t>10.33679/rmi.v1i1.2568</t>
  </si>
  <si>
    <t>Adams J.</t>
  </si>
  <si>
    <t>Exiles, art, and political activism: Fighting the pinochet regime from afar</t>
  </si>
  <si>
    <t>Journal of Refugee Studies</t>
  </si>
  <si>
    <t>Art; Coping strategies; Dictatorship; Exiles; Post traumatic stress disorder; Resistance movement</t>
  </si>
  <si>
    <t>Chileans exiled during the Pinochet dictatorship used art (arpilleras) from the shantytowns of Santiago in their efforts to bring about a return to democracy in Chile. What was the significance of their doing so? From the exiles' perspective, selling the art helped inform the public in their host countries about suffering caused by the dictatorship, it helped raise money to send back to shantytown women and the resistance movement, and it helped foster collective organizing and solidarity in Chile. Engaging in art-centred political activism was also important for the exiles themselves, as it made them feel they were 'solidarios' (compassionate and helping the resistance), politically active still, and engaged in the pro-democracy struggle. Furthermore, it helped them overcome trauma, giving meaning to their exile, and making them feel less isolated. These various meanings that exiles attributed to their political work with art were influenced by feelings of guilt, purposelessness, and a sense of rupture with past lives. © The Author 2012. Published by Oxford University Press. All rights reserved.</t>
  </si>
  <si>
    <t>10.1093/jrs/fes041</t>
  </si>
  <si>
    <t>Aedo, Angel</t>
  </si>
  <si>
    <t>Conflicting visibilities: Police and politics among border migrants in Chile</t>
  </si>
  <si>
    <t>SECURITY DIALOGUE</t>
  </si>
  <si>
    <t>Border migrants; Chile; conflicting visibilities; police; politics of presence; security</t>
  </si>
  <si>
    <t>The inhabitants of the squatted settlements in the border city of Arica, mostly indigenous migrants from the Peruvian-Bolivian highlands, feel the effects of the racialized geography of northern Chile through social discrimination, economic exploitation and deprivation of political rights. In these settlements, their migrant residents make palpable the pervasive tension between a mode of visibility that I analyse in terms of a 'politics of presence' and another kind of visibility that is created by the state's 'legibility' techniques. Three aspects come together in this process of conflicting visibilities: (1) the reciprocal influence between a borderland and its police order; (2) the relationship between biopower and the (in)visibility dynamic of migrant lives; and (3) the generative relationship between a redefinition of security and altered citizen practices. Through an analysis of these sets of relationships, the article provides a richer understanding of how, in the struggle between the political logic of equality and the police logic of domination, border migrants forge cunning and rebellious political subjectivities that challenge the border regime in which they find themselves by questioning both the basis on which rights are defined and the boundaries of citizenship.</t>
  </si>
  <si>
    <t>10.1177/0967010620964676</t>
  </si>
  <si>
    <t>Agostini C.A.; Brown P.H.; Roman A.C.</t>
  </si>
  <si>
    <t>Poverty and inequality among ethnic groups in Chile</t>
  </si>
  <si>
    <t>World Development</t>
  </si>
  <si>
    <t>Chile; Ethnicity; Inequality; Latin America; Poverty; Poverty mapping</t>
  </si>
  <si>
    <t>Despite two decades of rapid growth, indigenous Chileans are reported to face high poverty rates. However, non-representative surveys provide imprecise estimates of income, so quantifying poverty and inequality has been difficult. This paper estimates poverty and inequality using poverty mapping. In contrast to the previous studies, however, we use ethnicity rather than geography as a basis for disaggregation. We find that indigenous Chileans are indeed poorer, although we also find significant heterogeneity among ethnic groups. In addition, income inequality is generally lower for indigenous groups. These reliable estimates of poverty and inequality may improve the antipoverty targeting criteria used in Chile. © 2009 Elsevier Ltd.</t>
  </si>
  <si>
    <t>10.1016/j.worlddev.2009.12.008</t>
  </si>
  <si>
    <t>Aguayo-Fernández F.; Díaz-Vargas C.; Moraga-Henríquez P.; Mora-Olate M.L.</t>
  </si>
  <si>
    <t>Migration in Chile and educational inclusion: A document study (1980-2021); [Migração no Chile e inclusão educacional: Um estudo documental (1980-2021)]; [Migración en Chile e inclusión educativa: un estudio documental (1980-2021)]</t>
  </si>
  <si>
    <t>Revista Latinoamericana de Ciencias Sociales, Ninez y Juventud</t>
  </si>
  <si>
    <t>education policy; inclusive education; Migration</t>
  </si>
  <si>
    <t>This research article aims to identify the type of approach to educational inclusion evident in the laws, policies and guidelines published in Chile between 1980 and 2021 that refer to migrant students. The qualitative study uses a documentation design that analyses 22 documents retrieved from the websites of the Ministries of the Interior and Public Security and Education. The results highlight the lack of specificity with the reality of migrants in schools, particularly in legislation, where there is only evidence of an educational approach that is aimed at integration and functional interculturality. There is a move towards critical interculturality in some guidelines that attempt to promote and value cultural diversity. This divergence and lack of specificity leave a question mark over the educational inclusion of migrant students in Chile. © 2023 The Author(s).</t>
  </si>
  <si>
    <t>10.11600/rlcsnj.21.2.5447</t>
  </si>
  <si>
    <t>Agudelo-Suárez A.A.; Vargas-Valencia M.Y.; Vahos-Arias J.; Ariza-Sosa G.; Rojas-Gutiérrez W.J.; Ronda-Pérez E.</t>
  </si>
  <si>
    <t>A qualitative study of employment, working and health conditions among Venezuelan migrants in Colombia</t>
  </si>
  <si>
    <t>Health and Social Care in the Community</t>
  </si>
  <si>
    <t>health; immigrants; qualitative research; social protection; working conditions</t>
  </si>
  <si>
    <t>This study aims to explore the perceptions of the Venezuelan immigrant population in Medellín, Colombia, regarding their employment, working and health conditions (physical, mental and psychosocial). A qualitative study was conducted (focused ethnography perspective). Semi-structured interviews were carried out with 31 Venezuelans and 12 key informants from different social organisations that work with the immigrant population. A narrative content analysis was carried out (Atlas.Ti 8.0 software). The migratory process for Venezuelans is caused for political, economical and social aspects in Venezuela and Colombia is offered as the first destination for labour establishing. Access to the labour market is limited to certain occupations, in many cases in the informal economy. Participants referring low salaries, working long hours and reduced social benefits. Occupational risks are evidenced by low experience in the labour market. Some health problems are perceived, and a good part of the interviewed population referred to signs and symptoms related to mental health problems. Barriers to access health and social protection services were found. Finally, future expectations depend on their adaptation to Colombia, the improvement of social conditions in Venezuela or having chances of improving their social and living conditions in another country. A high labour and social vulnerability were found in Venezuelan participants that impact on physical and mental health. Political and strategies from a public health perspective are required and the implementation of systems for monitoring and evaluating the labour and health situation in the working immigrant population. © 2022 John Wiley &amp; Sons Ltd.</t>
  </si>
  <si>
    <t>10.1111/hsc.13722</t>
  </si>
  <si>
    <t>Aguilera Barraza, René; Tobar Quezada, Patricio; Rojas Merida, Luis</t>
  </si>
  <si>
    <t>Inclusión de estudiantes migrantes en escuelas públicas, visto desde la mirada del profesorado de Arica, Chile</t>
  </si>
  <si>
    <t>Actualidades Investigativas en Educación</t>
  </si>
  <si>
    <t>migration; inclusion; education; interculturality</t>
  </si>
  <si>
    <t>Abstract The increase in foreign migration to Chile produced a consolidation of a culturally and nationally diverse student population in the educational reality, between 2018 and 2020. The government, faced with the need to manage the difference within school communities, implemented a series of measures to facilitate the inclusion of migrant students, highlighting the national policy for foreign students, whose purpose is to guarantee the right to education for migrant children and adolescents. In this scenario, the objective of the article is to review teacher perceptions about the process of inclusion of foreign students in public schools in the north of Arica. The research has a qualitative cut, with phenomenological roots, and used the semi-structured interview to collect data. The study sample from the saturation process is 7 people. The results of the research indicate: First, that after five years of enactment of the national policy of foreign students there is no full cultural change to manage diversity. Second, although teachers from personal initiatives seek to recognize migrant children and adolescents in their particularities, the schools investigated still resort to a pedagogical approach to assimilation to respond to diverse students; and third, despite efforts to promote an appreciation of cultural difference in the educational centers investigated, practices of discrimination and exclusion of migrant students persist, impeding an adequate process of school inclusion.</t>
  </si>
  <si>
    <t>10.15517/aie.v23i2.52961</t>
  </si>
  <si>
    <t>Aguilera-Valdivia M.M.</t>
  </si>
  <si>
    <t>Identidades docentes y prácticas pedagógicas que promueven la interculturalidad en contextos escolares de alta migración</t>
  </si>
  <si>
    <t>Perfiles Educativos</t>
  </si>
  <si>
    <t>Intercultural pedagogical practice; Migration; Performative pedagogical practice; School communities; Teaching biography; Teaching identity</t>
  </si>
  <si>
    <t>This article presents results for my research on teaching identity and pedagogical practices that promote interculturality. I conducted this upon four professors working at educational institutions within the metropolitan region of Santiago de Chile, an area containing a high concentration of migrant students. The study’s goal was to explore how teaching identities are linked to pedagogical practices that promote interculturality. We used a qualitative methodology with a biographic-narrative focus and an ethnographic approach to the classroom. The professors’ identity characteristics were reflected in pedagogical performative practices promoting interculturality within school communities which lack or receive very little and/or inefficient support from the government in the development of this subject. These characteristics are rooted in the lived biographical experiences of the professors within their family, school, and geographical environments, as framed by conditions of socioeconomic poverty © 2023,Perfiles Educativos. All Rights Reserved.</t>
  </si>
  <si>
    <t>10.22201/iisue.24486167e.2023.180.60380</t>
  </si>
  <si>
    <t>Aguilera-Valdivia, María Magdalena</t>
  </si>
  <si>
    <t>Performances en el aula.</t>
  </si>
  <si>
    <t>Perfiles educativos</t>
  </si>
  <si>
    <t>Migration; Teaching identity; Intercultural pedagogical practice; Performative pedagogical practice; Teaching biography; School communities</t>
  </si>
  <si>
    <t>Abstract This article presents results for my research on teaching identity and pedagogical practices that promote interculturality. I conducted this upon four professors working at educational institutions within the metropolitan region of Santiago de Chile, an area containing a high concentration of migrant students. The study’s goal was to explore how teaching identities are linked to pedagogical practices that promote interculturality. We used a qualitative methodology with a biographic-narrative focus and an ethnographic approach to the classroom. The professors’ identity characteristics were reflected in pedagogical performative practices promoting interculturality within school communities which lack or receive very little and/or inefficient support from the government in the development of this subject. These characteristics are rooted in the lived biographical experiences of the professors within their family, school, and geographical environments, as framed by conditions of socioeconomic poverty.</t>
  </si>
  <si>
    <t>180</t>
  </si>
  <si>
    <t>Aguirre M.V.; Ibadango G.Y.</t>
  </si>
  <si>
    <t>Venezuelan migrants in Ecuador: Confronting symbolic criminalization through space; [Migrants vénézuéliens en Équateur: confronter la criminalisation symbolique par l’espace]; [Migrantes venezolanos en Ecuador: confrontar la criminalización simbólica por el espacio]</t>
  </si>
  <si>
    <t>Criminologie</t>
  </si>
  <si>
    <t>Criminalization; Ecuador; migration; spatiality; Venezuela</t>
  </si>
  <si>
    <t>In 2018, the Ecuadorian government was faced with a massive influx of Venezuelans fleeing the humanitarian and political crisis in their country. In this article, we examine the immigration policy deployed between 2018 and 2019 by the Ecuadorian government to regulate these arrivals. To do so, we develop a previously underdeveloped theoretical-analytical framework by mobilizing the Foucauldian critical policy studies perspective via the use of the Foucauldian concept of problematization. We then relate this to the social production of space within the framework of critical geography. Through the analysis of public policy documents, we posit that the Ecuadorian government symbolically criminalized the Venezuelan population by problematizing it as dangerous and potentially criminal. In contrast, interviews with Venezuelan immigrants show that the migrant population responds to and resists this problematization by employing socio-spatial strategies. Thus, this analysis seeks to contribute to the rare studies on the criminology of mobility in the global South. © 2023 The Author(s).</t>
  </si>
  <si>
    <t>10.7202/1107603ar</t>
  </si>
  <si>
    <t>Ahmed B.</t>
  </si>
  <si>
    <t>Who takes responsibility for the climate refugees?</t>
  </si>
  <si>
    <t>International Journal of Climate Change Strategies and Management</t>
  </si>
  <si>
    <t>Climate change; Climate justice; Climate refugee; CO&lt;sub&gt;2&lt;/sub&gt;        ; Displacement; Migration</t>
  </si>
  <si>
    <t>Purpose: “No climate change, no climate refugees”. On the basis of this theme, this paper aims to propose a method for undertaking the responsibility for climate refugees literally uprooted by liable climate polluting countries. It also considers the historical past, culture, geopolitics, imposed wars, economic oppression and fragile governance to understand the holistic scenario of vulnerability to climate change. Design/methodology/approach: This paper is organized around three distinct aspects of dealing with extreme climatic events – vulnerability as part of making the preparedness and response process fragile (past), climate change as a hazard driver (present) and rehabilitating the climate refugees (future). Bangladesh is used as an example that represents a top victim country to climatic extreme events from many countries with similar baseline characteristics. The top 20 countries accounting for approximately 82 per cent of the total global carbon dioxide (CO2) emissions are considered for model development by analysing the parameters – per capita CO2 emissions, ecological footprint, gross national income and human development index. Findings: Results suggest that under present circumstances, Australia and the USA each should take responsibility of 10 per cent each of the overall global share of climate refugees, followed by Canada and Saudi Arabia (9 per cent each), South Korea (7 per cent) and Russia, Germany and Japan (6 per cent each). As there is no international convention for protecting climate refugees yet, the victims either end up in detention camps or are refused shelter in safer places or countries. There is a dire need to address the climate refugee crisis as these people face greater political risks. Originality/value: This paper provides a critical overview of accommodating the climate refugees (those who have no means for bouncing back) by the liable countries. It proposes an innovative method by considering the status of climate pollution, resource consumption, economy and human development rankings to address the problem by bringing humanitarian justice to the ultimate climate refugees. © 2018, © Bayes Ahmed.</t>
  </si>
  <si>
    <t>10.1108/IJCCSM-10-2016-0149</t>
  </si>
  <si>
    <t>Ahumada, Gustavo; Iturra, Victor; Sarrias, Mauricio</t>
  </si>
  <si>
    <t>We Do Not Have the Same Tastes! Evaluating Individual Heterogeneity in the Preferences for Amenities</t>
  </si>
  <si>
    <t>JOURNAL OF HAPPINESS STUDIES</t>
  </si>
  <si>
    <t>Subjective well-being; Amenities; Heterogeneous preferences; Random parameters models; Compensating variation</t>
  </si>
  <si>
    <t>It is widely recognized by scholars that amenities affect the individual well-being. Ample empirical evidence has been provided for developed countries, although this analysis for developing economies is scant. The aim of this paper is to study the association between locational specific characteristics and self-reported measures of subjective well-being. We focus our analysis in Chile, a developing country located in South America endowed with a rather heterogeneous set of amenities across cities. Using data from several sources to account for both natural and urban city amenities along with individual traits, our first results suggest that natural and urban amenities do affect the level of subjective well-being across Chilean cities. Afterwards, we allow for the estimated parameters associated to amenities vary to characterize the whole distribution rather than a single average parameter. This analysis uncovers the existence of unobserved individual heterogeneity, that is, individuals display different tastes for amenities not captured by observed traits, and consequently compensating variations associated to amenities differ across the sample. These results provide valuable elements to policy makers and city planners to the design of policies that enhance the population well-being and to the understanding of the development of cities in developing economies.</t>
  </si>
  <si>
    <t>10.1007/s10902-019-00081-2</t>
  </si>
  <si>
    <t>Aichberger M.C.; Bromand Z.; Rapp M.A.; Yesil R.; Montesinos A.H.; Temur-Erman S.; Heinz A.; Schouler-Ocak M.</t>
  </si>
  <si>
    <t>Perceived ethnic discrimination, acculturation, and psychological distress in women of Turkish origin in Germany</t>
  </si>
  <si>
    <t>Social Psychiatry and Psychiatric Epidemiology</t>
  </si>
  <si>
    <t>Acculturation; Ethnic discrimination; Migrant; Psychological distress; Turkish</t>
  </si>
  <si>
    <t>Purpose: Discrimination is linked to various health problems, including mental disorders like depression and also has a negative effect on the access to mental health care services. Little is known about factors mitigating the association between ethnic discrimination and mental distress. Methods: The present study examined the extent of the relationship between perceived ethnic discrimination and psychological distress among women of Turkish origin residing in Berlin, and explored whether this association is moderated by acculturation strategies while controlling for known predictors of distress in migrant populations. Results: A total of 205 women of Turkish origin participated in the study. 55.1 % of the participants reported some degree of ethnic discrimination. The degree of reported discrimination varied according to acculturation. The highest level of ethnic discrimination was found in the second generation separated group and both generations of the marginalized group. Further, the results indicate an association between ethnic discrimination and distress while adjusting for known socio-demographic predictors of distress, migration-related factors, and neuroticism (B = 5.56, 95 % CI 2.44–8.68, p &lt; 0.001). However, the relationship did vary as a function of acculturation strategy, showing an association only in the separated group. Conclusions: The findings highlight the effects of ethnic discrimination beyond the influence of known risk factor for psychological distress in migrants, such as unemployment, being single, having a limited residence permit or the presence of personality structures that may increase vulnerability for stress responses and mental disorders. © 2015, Springer-Verlag Berlin Heidelberg.</t>
  </si>
  <si>
    <t>10.1007/s00127-015-1105-3</t>
  </si>
  <si>
    <t>Alarcon Leiva, Jorge; Gotelli Alvial, Catalina</t>
  </si>
  <si>
    <t>Migration of international students to Chile: Challenges of the new public education</t>
  </si>
  <si>
    <t>EDUCATION POLICY ANALYSIS ARCHIVES</t>
  </si>
  <si>
    <t>International immigrants; School directive management; Pedagogical management; Educational Policies; Recognition</t>
  </si>
  <si>
    <t>The article addresses the problem of immigration of international students in the Chilean educational system, collecting empirical evidence regarding the challenges of directive management and pedagogical management that the process of installing the new public educational institution in Chile faces. In this framework, the objective of the work is to elaborate a typology of the forms of implementation of the migratory policy at the school level, of the procedures adopted by the educational management and, finally, of the teaching practices related to the inclusion of immigrants. For this purpose, the analysis is carried out, from the Grounded Theory perspective, of semi-structured interviews applied to directive teachers and classroom teachers of school establishments, regarding situations in the context of which they have had to attend to emerging needs from the presence of international immigrant students. Finally, it ends by underlining the need to move from the stage of respect for rights to that of full recognition of the dignity of international immigrants.</t>
  </si>
  <si>
    <t>10.14507/epaa.29.6261</t>
  </si>
  <si>
    <t>Alarcon, Ricardo Ferrada</t>
  </si>
  <si>
    <t>Migration, dispossession and lost loves in Emiliano Monge's Las tierras arrasadas</t>
  </si>
  <si>
    <t>UNIVERSUM-REVISTA DE HUMANIDADES Y CIENCIAS SOCIALES</t>
  </si>
  <si>
    <t>migration; gangs; testimony; transtextuality; the outside</t>
  </si>
  <si>
    <t>The center of this work refers to the fictionalization strategies that organize the narrated world in Emiliano Monge's Las tierras arrasadas (The destroyed lands) (2015), in whose narrative flow, transtextuality, the story of a gang that traffics migrants, the testimonial discourse of those who survived a massacre, plus the insertion of fragments from Dante's Hell. In this context, the problem that is addressed in this fictional space is the substratum of the novel orders, in which, although it concerns emigration, the fictional intrigue consists in the confrontation to death of gangs of human traffickers. Within this framework, the premise is maintained that a devastated social order that has naturalized violence is being questioned in Las tierras arrasadas. It is concluded then that, from the transtextuality, a story is elaborated that goes beyond the novel and compromises the outside of the literary word, with which Monge is assigned to a group of writers who propose new forms of writing in Latin America of the 21st century.</t>
  </si>
  <si>
    <t>10.4067/S0718-23762021000100253</t>
  </si>
  <si>
    <t>Albiez-Wieck S.; Gil Montero R.</t>
  </si>
  <si>
    <t>The emergence of colonial fiscal categorizations in Peru. Forasteros and yanaconas del rey, sixteenth to nineteenth centuries</t>
  </si>
  <si>
    <t>Journal of Iberian and Latin American Studies</t>
  </si>
  <si>
    <t>categorization; Colonial Spanish America; labor history; migration; Peru; tribute; visita</t>
  </si>
  <si>
    <t>The article traces the emergence and further development of two related fiscal categorizations concerning indigenous peoples in the viceroyalty of Peru: forasteros and yanaconas del rey. Broadly speaking, both categorizations denoted indigenous people living outside their original communities, generally without access to communal lands, and therefore often characterized as migrants. As we will show, access to land and migration were not always and everywhere present. We analyze these social and fiscal categorizations from conquest to the early nineteenth century, occasionally addressing several related minor classifications, such as quintero, which were regionally limited. We argue that the General Visitation by Viceroy Mancera in 1645 was a turning point since it included for the first time separate lists of yanaconas del rey and forasteros within the tributary censuses. © 2020, © 2020 The Author(s). Published by Informa UK Limited, trading as Taylor &amp; Francis Group.</t>
  </si>
  <si>
    <t>10.1080/14701847.2020.1717109</t>
  </si>
  <si>
    <t>Albornoz-Arias N.; García Vergara C.A.; Ramírez-Martínez C.</t>
  </si>
  <si>
    <t>Mental health of immigrant individuals and families. Implications of grief, lack of protection, rejection and transnational stress; [Salud mental de personas y familias inmigrantes. Implicaciones del duelo, desprotección, rechazo y estrés transnacional]</t>
  </si>
  <si>
    <t>Studi Emigrazione</t>
  </si>
  <si>
    <t>Colombia; mental health; migration; migratory grief; Venezuela</t>
  </si>
  <si>
    <t>The article aims to study the impact of migration on mental health, considering individual and family implications. The work was developed from a qualitative perspective through the review of 50 sources, which revealed five research trends: 1) migration and mental health, approached from the perspective of loss and lack of protection; 2) the characteristics, stressors, and coping strategies of migratory grief; 3) social and gender stereotypes, built around the migrant subject; 4) the crisis and institutional weakness; 5) the fragmentation and search for quality of life of the transnational family. The study considers the emotional, psychological and affective impact of migration depending on whether it is voluntary or forced, whether or not there are support networks, whether or not there are integration factors and/or family fragmentation. © 2024, Fondazione Centro Studi Emigrazione. All rights reserved.</t>
  </si>
  <si>
    <t>Albuquerque J.L.C.</t>
  </si>
  <si>
    <t>Limits and paradoxes of citizenship in borderlands: Assistance to the brasiguaios in the public health system in Foz do Iguaçu (Brasil); [Limites e paradoxos da cidadania no território fronteiriço: O atendimento dos brasiguaios no sistema público de saúde em Foz do Iguaçu (Brasil)]; [Límites y paradojas de la ciudadanía en el territorio fronterizo: la atención a los brasiguayos en el sistema público de salud en Foz do Iguaçu (Brasil)]</t>
  </si>
  <si>
    <t>Geopolitica(s)</t>
  </si>
  <si>
    <t>borders; Brazil; citizenship; health; migration; nation; Paraguay</t>
  </si>
  <si>
    <t>The paper discusses some policies border integration in health sector and the tension with the territorial sovereignty of the state, establishing national processes of funding and attention to the border population. The research also emphasizes the tactics of the residents who live in Paraguay and seek social rights and benefits on the Brazilian side, as well as the methods of supervision and control of these actions. © 2012 Universidad Complutense de Madrid. All rights reserved.</t>
  </si>
  <si>
    <t>10.5209/rev_GEOP.2012.v3.n2.40040</t>
  </si>
  <si>
    <t>Alcaino, Juan Alberto Castaneda; Rivera, Rocio Belen Brebi</t>
  </si>
  <si>
    <t>Chilean perceptions on the arrival of foreigners</t>
  </si>
  <si>
    <t>JUSTICIA</t>
  </si>
  <si>
    <t>Chile; migration process; perceptions</t>
  </si>
  <si>
    <t>the objective of this article is to analyze perceptions about the arrival of foreigners to Chile during the period 2017 to 2021, exploring the context of diverse migratory flows and their impact on Chilean public opinion. Method: to achieve this objective, a mixed methodology was employed, including the use of logit and linear models. Results: the study found that there is a negative perception of migrants, with predictors of distrust including educational level and criminality in the country. Conclusion: the sustained and significant increase in migration has generated negative perceptions, particularly related to fear of job competition and concern about crime. In addition, it should be noted that during the COVID-19 pandemic this phenomenon became more acute despite mobility restrictions, affecting both the perception of job loss and the insecurity of Chilean citizens today.</t>
  </si>
  <si>
    <t>10.17081/just.29.45.7178</t>
  </si>
  <si>
    <t>Alcalde M.C.</t>
  </si>
  <si>
    <t>Violence across borders: Familism, hegemonic masculinity, and self-sacrificing femininity in the lives of Mexican and Peruvian migrants</t>
  </si>
  <si>
    <t>Latino Studies</t>
  </si>
  <si>
    <t>Domestic violence; Familism; Gender roles; Mexico; Migration; Peru</t>
  </si>
  <si>
    <t>This article focuses on the experiences of intimate partner violence of intranational migrants in Lima, Peru and international undocumented Mexican immigrants in Austin, Texas. Employing a feminist and ecological approach, I explore both ways in which the experiences of women in each setting differ as well as commonalities in cultural beliefs in women's lives across borders. I suggest that an analysis of the role of familism, hegemonic masculinity, and self-sacrificing femininity as hegemonic and transnational values that inform Mexican and Peruvian women's lives contributes to a richer understanding of domestic violence among Latin American women. © 2010 Macmillan Publishers Ltd.</t>
  </si>
  <si>
    <t>10.1057/lst.2009.44</t>
  </si>
  <si>
    <t>Aldayuz Henríquez, Estefanía</t>
  </si>
  <si>
    <t>Migración, diversidad y racismo en Chile: la necesidad de un sistema educativo anti-racista, decolonial y humanizado</t>
  </si>
  <si>
    <t>Education; migration; antiracist; decolonial; humanist pedagogy</t>
  </si>
  <si>
    <t>Abstract: Since Chile is one of the main migratory hubs in South America nowadays, it has become essential to understand more about the impact that this matter entails in the country´s educational system. The following article presents part of the results of an investigation carried out in schools in the city of Valparaíso, which has aimed to investigate the prejudices towards immigrants, carried by teachers and officials. The preliminary results support the urgent need of a system restructuration that, in addition to including the renewal of content and methodologies, must necessarily include direct work with &amp; for educators. Additionally, this article seeks to provide certain alignments for a possible intervention, following an anti-racist decolonial approach.</t>
  </si>
  <si>
    <t>64</t>
  </si>
  <si>
    <t>10.32735/s0718-6568/2023-n64-1829</t>
  </si>
  <si>
    <t>Alejandro Garces, H.</t>
  </si>
  <si>
    <t>LOCATIONS FOR A SPATIALITY: TERRITORIES OF PERUVIAN MIGRATION IN SANTIAGO, CHILE</t>
  </si>
  <si>
    <t>CHUNGARA-REVISTA DE ANTROPOLOGIA CHILENA</t>
  </si>
  <si>
    <t>Peruvian migration; urban space; public space; transnationalism; ethnic business; special landscapes</t>
  </si>
  <si>
    <t>This paper discusses the changes in urban space in Santiago, Chile caused by the substantial increase in Peruvian migration in the last 15 years. Using an ethnographic approach - with migrants life stories, and observations of uses or appropriations of some urban areas- it was possible to see how Peruvian migrants have given shape to multifunctional loci which constitute resources for new migrant communities. These loci permit access to key information for economic reproduction, construction of spatial memory, and a source of meaning for a new territoriality. The economic formations of Peruvian migration and various practices of assembly, association or agglomeration in public places, makes visible a different construction of urban space. These novel urban forms result from the application of different principles of spatial landscapes. Some of these principles are physically confined, restricted to the borders of a neighborhood or a street or a shop, but others are virtual and constructed or described by the intense movements and displacements that characterize transnational migration flows.</t>
  </si>
  <si>
    <t>10.4067/S0717-73562012000100012</t>
  </si>
  <si>
    <t>Alejandro Garces, H.; Jorge Moraga, R.; Marcelo Maureira, C.</t>
  </si>
  <si>
    <t>THREE MOBILITIES FOR A ROUTE. SPACE,TRADE AND BOLIVIAN TRANSNATIONALITY IN TARAPACA</t>
  </si>
  <si>
    <t>ESTUDIOS ATACAMENOS</t>
  </si>
  <si>
    <t>Transnational space; Border; Bolivian migration</t>
  </si>
  <si>
    <t>Taking as our starting point the axis marked by highway 15-CH, between Iquique (Chile) and Oruro (western Bolivia), based on various basically ethnographic materials, the present text attempts to take a critical view of migration understood as having prefixed origin and destination spaces; and of the idea of permanent settlement at the destination as the a priori object of the displacements which occur. We consider the migration profiles and itineraries which currently configure these frontier spaces, analyzing both the composition of their networks of relations and the cultural and economic flows which make up a transnational field in the area.</t>
  </si>
  <si>
    <t>Alejandro Imilan, Walter</t>
  </si>
  <si>
    <t>Peruvian Restaurants in Santiago de Chile: Constructing a Landscape of Migration</t>
  </si>
  <si>
    <t>REVISTA DE ESTUDIOS SOCIALES</t>
  </si>
  <si>
    <t>Migration; landscape; anthropology of dining</t>
  </si>
  <si>
    <t>The text addresses the relationship between migration, insertion strategies and transformations of urban space. It argues that the proliferation of Peruvian-cuisine restaurants in Santiago forms a landscape of migration that operates both as a transversal insertion strategy for different segments of the Peruvian population and as a form of recognition of them as other on the part of Chilean society. Based on a quantitative and qualitative study, the article describes the main features in the development of local Peruvian cuisine, identifying their development dynamics, locations and the networks that give them life. Finally, the Peruvian restaurants in Santiago demonstrate a complex assemblage of the global, national and local dimensions of migration.</t>
  </si>
  <si>
    <t>10.7440/res48.2014.02</t>
  </si>
  <si>
    <t>Aleshkovski I.A.; Moteva A.I.; Savina N.E.; Gasparishvili A.T.; Krukhmaleva O.V.</t>
  </si>
  <si>
    <t>EDUCATIONAL TRAJECTORIES of SCHOOL GRADUATES of the RUSSIAN INDUSTRIAL REGION; [ОБРАЗОВАТЕЛЬНЫЕ ТРАЕКТОРИИ ВЫПУСКНИКОВ ШКОЛ РОССИЙСКОГО ПРОМЫШЛЕННОГО РЕГИОНА]</t>
  </si>
  <si>
    <t>Obrazovanie i Nauka</t>
  </si>
  <si>
    <t>Education; Graduate; Migration; Region; School; Trajectory</t>
  </si>
  <si>
    <t>Introduction. The relevance of the research is accounted by the need to analyse the educational transition of youth from secondary schools to the tertiary education system and to develop a set of measures to encourage the majority of young people to stay in the region of residence and to aim at obtaining skills demanded by the local and regional labour market. The aim of the present research is to identify the educational plans of school graduates and the peculiarities of young people entering into a region’s higher education system. As indicators, the authors consider the availability of education and young people migration at the stage of transition from secondary education to higher education. The problematic situation consists in youth migration from the regions of residence to continue education in major university centers. It leads to a systemic change in the regions’ demographic situation and to the outflow of the most capable regional school leavers. Materials and research methods. The article is based on the data of the sociological study “Comprehensive Analysis of the Education System of the Kemerovo Region” conducted by the authors. A specially developed questionnaire using Google Forms platform was employed to interview the school graduates (787 ninth graders, 338 eleventh graders) and their parents (520 people). The survey covered 18 schools located in all types of settlements. At the stage of data analysis in the SPSS 25 functional environment, primary data were processed and the results were presented using descriptive statistics methods; an in-depth analysis of empirical information was carried out using multidimensional methods of analytical statistics, including the Pearson’s χ2 significance test, the procedures of factor, correlation and regression analysis (p &lt; 0.001). Research results and scientific novelty. Long-range plans of secondary school graduates in the industrial region of Russia were identified; the motives in favour of their choice were studied; and the factors influencing this choice were revealed. As possible measures to overcome the outflow of young people from the regions, the authors propose to consider targeted training, the work with talented youth, the organisation of interaction at the level of “employer – school – university”, the various forms of network interaction of universities, as well as the modern forms of attracting students to the comfortable educational environment of the university, creating conditions not only for learning, but also for leisure, self-development, implementation of continuing education. Practical significance. The research results should be of use to specialists engaged in education studies and young people migration attitudes analysis, in labour market in Russia’s regions, to education management and regional administration officials. The research tools can be used in analysing educational migration and professional trajectories of secondary school graduates in Russia. The study is scheduled to be extended to other RF regions that are most troubled in terms of education migration, aiming to suggest possible ways to optimise this process there. © 2020 Russian State Vocational Pedagogical University. All rights reserved.</t>
  </si>
  <si>
    <t>10.17853/1994-5639-2020-10-41-60</t>
  </si>
  <si>
    <t>Alfaro C.E.</t>
  </si>
  <si>
    <t>“Downtown’s gone bad”: On the racialization of downtown Antofagasta; [“El centro se puso malo”. Sobre la racialización del centro de Antofagasta]</t>
  </si>
  <si>
    <t>Governance; migration; public safety</t>
  </si>
  <si>
    <t>This article presents the results of a research project based on an ethnographical approach, aimed at analyzing the hostile manifestations towards migrants on a street in downtown Antofagasta, and interprets these as a process of local racialization. Since the on-going arrival of migrants from the Caribbean and countries in the northern part of South America (Dominicans, Colombians, Peruvians, Bolivians,) and their increased visibility on downtown streets, practices and discourses have developed that identify these people as malevolent subjects that have made the downtown area “go bad.” Focusing the analysis on State institutions and engaging Marxist, anti-racist, critical race theory and black feminist perspectives, I posit that the "undesirable immigrant" emerges as a fetish and is converted into a commodity and an artifact exploited by some political sectors and the State itself to justify their existence and reinforce immigration policies. Practices such as the racial fencing of downtown Antofagasta are used to explain the rejection of immigrants as a tabula rasa, the symbolic and material conservation of national hegemony and performances of national order. Antofagasta's downtown area and Condell Street have become the backdrop for a process of racialization based on the fantasy of insecurity. © 2019, The authors.</t>
  </si>
  <si>
    <t>10.4067/S0719-09482019000200115</t>
  </si>
  <si>
    <t>Alfaro Monsalve K.; Morales J.L.</t>
  </si>
  <si>
    <t>Chilean children adopted by swedish families: Diplomatic proximity in times of cold war (1973-1990); [Crianças chilenas adotadas por famílias suecas. Proximidade diplomática em tempos de guerra fria (1973-1990)]; [Niños y niñas chilenos adoptados por familias suecas. Proximidad diplomática en tiempos de guerra fría (1973-1990)]</t>
  </si>
  <si>
    <t>Historia Critica</t>
  </si>
  <si>
    <t>Adoption; Children; Chile; Cold War; Dictatorship; Sweden</t>
  </si>
  <si>
    <t>Objective/Context: This article seeks to understand the characteristics and political implications of the process that allowed the adoption of Chilean children by Swedish parents during the military dictatorship in Chile. Methodology: The research is based on the review of diplomatic documentation corresponding to the Chilean Embassy in Sweden, specifically on reports that described the dissemination of the image of Chile and its children in the Swedish media between 1973 and 1990. In addition, reports, periodicals, and official records were consulted that expressed the reaction of the Chilean authorities to criticism received from the Swedish press for irregularities in the adoptions of children. Originality: The political and diplomatic framework for the regulation of international adoptions in the context of military dictatorships in Latin America has been poorly addressed from the humanities and social sciences since interest has been focused on the search for origins by adopted people and their biological families. Hence, this work’s contribution to the historiography of adoptions lies in its focus on the political and diplomatic dimensions of the phenomenon, on the scope of forced mechanisms in the circulation of children to first world countries, as well as on regulatory policies regarding children and family. Conclusions: Based on the revised documentation, it is feasible to conclude that the adoptions of Chilean children by Swedish families were part of a campaign of the military dictatorship to promote adoption, which worked as a counter-propaganda to stop “anti-Chilean campaign” in Sweden, as well as to recover international ties. © 2021, Universidad de los Andes, Bogota Colombia. All rights reserved.</t>
  </si>
  <si>
    <t>10.7440/HISTCRIT81.2021.04</t>
  </si>
  <si>
    <t>Alfaro, Emma; Inostroza, Xochitl; Dipierri, Jose E.; Pena Aguilera, Daniela; Hidalgo, Jorge; Esther Albeck, Maria</t>
  </si>
  <si>
    <t>Surnames and population structure in the Doctrine of Belen, Altos de Arica, Viceroyalty of Peru (1750-1813)</t>
  </si>
  <si>
    <t>JOURNAL OF BIOSOCIAL SCIENCE</t>
  </si>
  <si>
    <t>Surnames; Inbreeding; Historical records</t>
  </si>
  <si>
    <t>The analysis of multiple population structures (biodemographic, genetic and socio-cultural) and their inter-relations contribute to a deeper understanding of population structure and population dynamics. Genetically, the population structure corresponds to the deviation of random mating conditioned by a limited number of ancestors, by restricted migration in the social or geographic space, or by preference for certain consanguineous unions. Through the isonymic method, surname frequency and distribution across the population can supply quantitative information on the structure of a human population, as they constitute universal socio-cultural variables. Using documentary sources to undertake the Doctrine of Belen's (Altos de Arica, Chile) historical demography reconstruction between 1763 and 1820, this study identified an indigenous population with stable patronymics. The availability of complete marriage, baptism and death records, low rates of migration and the significant percentage of individuals registered and constantly present in this population favoured the application of the isonymic method. The aim of this work was to use given names and surnames recorded in these documentary sources to reconstruct the population structure and migration pattern of the Doctrine of Belen between 1750 and 1813 through the isonymic method. The results of the study were consistent with the ethno-historical data of this ethnic space, where social cohesion was, in multiple ways, related to the regulation of daily life in colonial Andean societies.</t>
  </si>
  <si>
    <t>PII S0021932021000389</t>
  </si>
  <si>
    <t>10.1017/S0021932021000389</t>
  </si>
  <si>
    <t>Alfonso Bouhaben, Miguel; Pineiro Aguiar, Eleder</t>
  </si>
  <si>
    <t>Cross-border, over-border, and de-border. The art of performance on the USA-Mexico border</t>
  </si>
  <si>
    <t>REVISTA COLOMBIANA DE SOCIOLOGIA</t>
  </si>
  <si>
    <t>activism; cross-border; de-border; limit; over-border; performance; securitization; transdisciplinarity; avant-garde art; Latin American art; migration; sociology of art</t>
  </si>
  <si>
    <t>In this interpretive-hermeneutic text we use artistic works carried out on the Mexico-US border to reflect on philosophical and anthropological concepts around the securitization of human mobility and the limit as a central category in the construction of capitalist modernity. The singularity of these works lies in the fact that they intervene performatively the border space to explain the porous, constructed, diffuse, and heterogeneous nature of the borders, the most extensive in the world being a biopolitical laboratory to generalize. They also address a variety of disciplines whose processes involve a poetic transgression of border boundaries. Three categories of performative works on the border emerged from the study of the corpus of works: cross-border, that implies a transgression of the limit through the body; over-bordering, that develops an action that overlaps and operates on the limit itself; and desborder, that advocates the poetic elimination of the limit. Thus, the analyzes address performative cross-bordering as a challenge to the forms of control imposed by border crossings through the use of the body as a playful act, as an expression of difference, and as abjection (To the Rhythm of the Swing, Rocio Boliver, 2012); performative over-bordering, as overwriting of an action on the border of the Rio Bravo, that operates around the mobility / immobility paradox in third country and understanding-creativity (Operation Tumbleweed, K. Yopland, 2018); and performative de-frontiering, as a mechanism to erase the fence for the configuration of a utopian possibility and a world-other without limits that can be read as a political, anthropological, and deconstructive de-boundary (Erasing the Border, Ana Teresa Fernandez, 2012). After the analyzes, in the final part of the work, we defend the transdisciplinary and rebellious nature of both the selected works and the activist proposal of their authors.</t>
  </si>
  <si>
    <t>Aliaga-Sáez F.; Olmos-Alcaraz A.; De la Rosa-Solano L.; Rodríguez-Portillo C.; Montoya-Carrizosa L.</t>
  </si>
  <si>
    <t>Social Integration in Colombia from the Voices of Venezuelan Migrant Students; [Integración Social en Colombia desde las Voces de Estudiantes Migrantes Venezolanos]</t>
  </si>
  <si>
    <t>Multidisciplinary Journal of Educational Research</t>
  </si>
  <si>
    <t>Colombia; Education; integration; migration; Venezuela</t>
  </si>
  <si>
    <t>The crisis that Venezuela is facing has caused thousands of people to migrate out of the country, including children and adolescents of school age. This article, from the theoretical approach of integration and social imaginaries, analyses the elements that Venezuelan elementary and high school students in Colombia identify as fundamental for their integration in the educational field. Through a qualitative method of exploratory type, eight focus groups with students were carried out in the Orlando Higuita Rojas and San Cayetano schools in Bogotá and the Camilo Daza in Cúcuta. The research allows us to identify how, despite of the discrimination that affects integration, the academic commitment of the students persists, in a scenario that requires permanent dialogues to ensure the participation and rights of the students. © 2024, Hipatia Editorial. All rights reserved.</t>
  </si>
  <si>
    <t>10.17583/remie.10398</t>
  </si>
  <si>
    <t>Aljamal Y.M.; Amour P.O.</t>
  </si>
  <si>
    <t>Palestinian diaspora communities in Latin America and Palestinian statehood</t>
  </si>
  <si>
    <t>Journal of Holy Land and Palestine Studies</t>
  </si>
  <si>
    <t>Beit Jala; Chile; Diaspora communities; El Salvador; Honduras; Israel; Latin America; Palestine; Palestinian Federations in Latin America; Palestinian statehood; Palestinians; PLO</t>
  </si>
  <si>
    <t>There are some 700,000 Latin Americans of Palestinian origin, living in fourteen countries of South America. In particular, Palestinian diaspora communities have a considerable presence in Chile, Honduras, and El Salvador. Many members of these communities belong to the professional middle classes, a situation which enables them to play a prominent role in the political and economic life of their countries. The article explores the evolving attitudes of Latin American Palestinians towards the issue of Palestinian statehood. It shows the growing involvement of these communities in Palestinian affairs and their contribution in recent years towards the wide recognition of Palestinian rights — including the right to self-determination and statehood — in Latin America. But the political views of members of these communities also differ considerably about the form and substance of a Palestinian statehood and on the issue of a two-states versus one-state solution. © Journal of Holy Land and Palestine Studies.</t>
  </si>
  <si>
    <t>10.3366/hlps.2020.0230</t>
  </si>
  <si>
    <t>Almonacid F.</t>
  </si>
  <si>
    <t>Migration and Return to Mapuche Lands in Southern Chile, 1970–2022</t>
  </si>
  <si>
    <t>Mapuche communities; pandemic; return migration; rural spaces; southern Chile</t>
  </si>
  <si>
    <t>This article addresses the emerging issue of migration from cities to the countryside, a trend which increased and became more evident during the COVID-19 pandemic. Specifically, this study follows the population growth of Mapuche communities in southern Chile. It proposes that this migration pattern represents a medium-term pendular historical phenomenon; decades after the initial Mapuche exodus to cities in Chile and Argentina in the 1960s and 1970s, families and individuals have decided to return to live permanently on community lands. This study utilized official Mapuche community resources and interviews with public officials, experts, community members, and Mapuche leaders. This article highlights a very important historical phenomenon, as return migration generates changes in the communities and the southern landscape, as well as posing challenges for the rural world. In some cases, the recent return migration has generated substantial occupation changes for the migrants, resulting in a change from urban to rural activities. In other cases, individuals and families have returned to live in the community but maintained jobs in nearby cities, or have retired. © 2023 by the author.</t>
  </si>
  <si>
    <t>10.3390/su15054457</t>
  </si>
  <si>
    <t>Altman, David</t>
  </si>
  <si>
    <t>Adjusting democracy indices to the age of mass migration: voting rights of denizens and expats</t>
  </si>
  <si>
    <t>CONTEMPORARY POLITICS</t>
  </si>
  <si>
    <t>Democracy; citizenship; inclusion; migration; denizens; expatriates; measurement of democracy</t>
  </si>
  <si>
    <t>Thanks Contemporary migration flows affect virtually all aspects of the social fabric, democracy included. Focused on the competitiveness aspects of the regime, comparative measurements of democracy have underestimated the complexity of the Dahlian dimension of inclusiveness, a sine qua non for defining a polyarchy. This measurement paper proposes a new index of inclusiveness: Electoral Residential Inclusiveness. This measure, an alternative to the most frequently used ethnonational ones, assesses the size of the overlap between those who make the law and those who are subject to it. It is shown how some regimes-including some typically considered strong democracies-exhibit such a considerable gap between these two groups that their democratic credentials could be questioned. Regardless of the new metric's efficacy, one implication of this research is that measures of democracy need to be explicit about the complex normative decisions on how we conceptualize, measure, and aggregate the inclusiveness dimension of polyarchy.</t>
  </si>
  <si>
    <t>10.1080/13569775.2021.2008617</t>
  </si>
  <si>
    <t>Altman, David; Huertas-Hernandez, Sergio; Sanchez, Clemente T.</t>
  </si>
  <si>
    <t>Two paths towards the exceptional extension of national voting rights to non-citizen residents</t>
  </si>
  <si>
    <t>JOURNAL OF ETHNIC AND MIGRATION STUDIES</t>
  </si>
  <si>
    <t>Non-citizen residents; voting rights; democracy; citizenship; immigration</t>
  </si>
  <si>
    <t>Only five countries have extended universal voting rights to non-citizen residents for all political spheres (local, intermediate and national): Uruguay in 1934, New Zealand in 1975, Chile in 1980, Malawi in 1994, and Ecuador in 2008. These cases constitute a unique intercontinental medley and an opportunity to study the conditions behind such revolutionary change. Through a calibrated comparative strategy based on most similar system designs (inspired by Mill's method of difference) using QCA, this paper finds that the extension of national voting rights to non-citizen residents transpired in two distinct scenarios. The first setting (Chile, New Zealand, and Uruguay) took place within unitary states with already-existing local voting rights for non-citizen residents and settler trajectories, but that were not undergoing a liberalisation process. On the other hand, the second configuration (Ecuador and Malawi) developed within unitary states that recognised nationality by ius soli and were going through a process of liberalisation, but without previous local voting rights for non-citizen residents or a settler trajectory. To our best knowledge, this paper offers the first cross-national explanation that involves all cases that have broadened their respective political communities (demoi) to include national voting rights to all non-citizen residents.</t>
  </si>
  <si>
    <t>10.1080/1369183X.2023.2182713</t>
  </si>
  <si>
    <t>Alva F.S.; Fuentes A.R.; Hernández D.S.; Brown C.A.</t>
  </si>
  <si>
    <t>Foreignness, neoliberalism and subsidiarity: the problem of access to housing for migrants in the Metropolitan Region and Antofagasta, Chile; [Extranjeridad, neoliberalismo y subsidiariedad: el problema de acceso a la vivienda de migrantes en las Región Metropolitana y de Antofagasta, Chile]</t>
  </si>
  <si>
    <t>Poblacion y Sociedad</t>
  </si>
  <si>
    <t>housing; migration; neoliberal state; subsidiarity</t>
  </si>
  <si>
    <t>This article presents the results of a qualitative study carried out in some communes of the city of Santiago de Chile, and in Antofagasta, in northern Chile. The analysis shows how the articulation between foreignness –which refers both to the migratory situation and to processes of ethnicization and racialization- and a deregulated real estate market and a subsidiary neoliberal State, create informality and precariousness in access to housing, which materializes in at least three situations: abusive rent conditions, overcrowding and self-construction in camps. © 2022 Grupo Editor Yocavil. All rights reserved.</t>
  </si>
  <si>
    <t>10.19137/pys-2022-290111</t>
  </si>
  <si>
    <t>Alvarado J.L.H.; Meza G.O.; Vega M.G.</t>
  </si>
  <si>
    <t>Psychosocial intervention programs for stress management in adult migrants from Latin America: A systematic review and meta-analysis; [Programas de intervención psicosocial para el manejo del estrés en adultos migrantes de Latinoamérica: una revisión sistemática y meta-análisis]</t>
  </si>
  <si>
    <t>Revista Latinoamericana de Psicologia</t>
  </si>
  <si>
    <t>Intervention; Latin America; meta-analysis; migration; stress</t>
  </si>
  <si>
    <t>Introduction: Latin American migrants experience vulnerability and continuous exposure to stress during their journey to United States, as a result, intervention programs with the objective to reduce psychological disorders in the migrant population have been developed. Method: A systematic review with meta-analysis was carried out following Co-chrane and Prisma guidelines, determining the following components: population of interest, characteristics of the interventions, comparison criteria, results and intervention designs to analyze the efficacy of psychosocial intervention in stress for migrant adults of Latin American origin in the United States. Results: 296 articles were identified through databases; EBSCO host, Science Direct, PubMed, Elsevier and the Cochrane metasearch, seven of them were included in the systematic review and six in the meta-analysis. The results of the meta-analysis indicate that stress intervention programs for adult migrants of Latin American origin in the United States had a low effect size of .17, with a variability of 98.51% and significant hetero-geneity. Conclusions: Discrepancies were detected between the effect size reported in the primary studies and that assessed by the metafor package of the Rstudio statistical program, in addition serious limitations were found in the designs and methods used in the primary studies, which restricts the scope of the results found in the present study. © 2021 Fundación Universitaria Konrad Lorenz.</t>
  </si>
  <si>
    <t>10.14349/rlp.2021.v53.24</t>
  </si>
  <si>
    <t>Alvarado Lincopi, Claudio</t>
  </si>
  <si>
    <t>«¿Qué pueden temer los winka si los mapuche nos unimos?» Raza, clase y lucha sindical mapuche. Santiago, 1925-1980</t>
  </si>
  <si>
    <t>Cultura-hombre-sociedad</t>
  </si>
  <si>
    <t>Colonial continuity; racialized work; orphanage; Mapuche trade unionism; mutual aid</t>
  </si>
  <si>
    <t>Abstract: This article examines the historical development of Mapuche trade unionism in the baking industry during the 20thcentury in Santiago, Chile. We contend that this form of organization sought to resist the racism and labor conditions that Mapuche migrants to the city had to confront. In addition, we situate bakery trade unionism in the context of the broader history of political and organizational resistance to the multiple effects of Chilean colonialism, including the alienation resulting from forced migration, racializedlabor regimes, and anti-indigenous discrimination, which are also analyzed in the present text. Finally, we argue that the experience of the unionized Mapuche bakers brings together in a single strand the history of the workers’ movement and the history of the Mapuche during the 20th century.</t>
  </si>
  <si>
    <t>10.7770/cuhso-v27n2-art.1263</t>
  </si>
  <si>
    <t>Alvarez Rojas, Ana Maria; Lara Edwards, Antonia; Stang Alva, Fernanda</t>
  </si>
  <si>
    <t>Urban Test and Support in Migrants Living in Santiago, Chile</t>
  </si>
  <si>
    <t>CUADERNOS INTER C A MBIO SOBRE CENTROAMERICA Y EL CARIBE</t>
  </si>
  <si>
    <t>Migration; migratory project; housing; labor; racism</t>
  </si>
  <si>
    <t>Among the problems faced by migrants in Santiago de Chile is access to quality housing and habitat, particularly in the first years of their migratory experience. They also face difficulties of coexistence, discrimination, and xenophobia in public spaces, neighborhoods, and work. We approach these aspects from the notion of urban proof that refers to a tension of historical and structural nature that confronts individuals with common challenges in relation to their life in the city, to which they must respond from their experience and personal resources. Through a qualitative study, we seek to know how these tensions manifest themselves for a group of migrants and the ways in which they face them..e results confirm the presence of early housing vulnerability, racism, and discrimination, while the main supports are the migratory project, together with withdrawal into the domestic space and bearing discrimination.</t>
  </si>
  <si>
    <t>10.15517/c.a..v19i2.50668</t>
  </si>
  <si>
    <t>Alviarez I.C.G.; de la Pava J.A.L.</t>
  </si>
  <si>
    <t>Migrant children and their welcoming at school: Latin american research abstract; [Les enfants migrants et l’accueil à l’école: La recherche en amérique latine]; [Crianças migrantes e seu acolhimento na escola: Pesquisas latino-americanas]; [La niñez migrante y su acogida en la escuela: Investigaciones latinoamericanas]</t>
  </si>
  <si>
    <t>Cadernos de Pesquisa</t>
  </si>
  <si>
    <t>Childhood; Education; Latin america; Migration</t>
  </si>
  <si>
    <t>The current ways of understanding the phenomena of welcoming migrant children in public schools in Latin America are analyzed, based on the review of the academic literature generated about this topic in the region. Methodologically, a corpus made up of 60 works published between 2014 and 2020 was subjected to hermeneutic analysis. This corpus characterizes the subjects of migrant diversity and their school territories, and outlines the crossings and borders between comprehensive categories that account for the ways in which migrant and refugee children are received in school spaces and regional education systems. As a conclusion, consensus on the topics of inclusion and interculturality is problematized. © 2021, Fundacao Carlos Chagas. All rights reserved.</t>
  </si>
  <si>
    <t>10.1590/198053147987</t>
  </si>
  <si>
    <t>Amarante V.; Rossel C.; Scalese F.</t>
  </si>
  <si>
    <t>Hours of Work and Early Childhood Education and Access to Care Services in Latin America: Evidence From Colombia, Chile, Mexico, and Uruguay</t>
  </si>
  <si>
    <t>Journal of Family Issues</t>
  </si>
  <si>
    <t>early childhood education and care policies; gender gaps; Latin America; time-use; unpaid work</t>
  </si>
  <si>
    <t>This paper explores the relationship between access to early childhood education and care (ECEC) services and family arrangements in the distribution of work in four Latin American countries. We find that households in which all children aged 0 to 5 receive ECEC services exhibit smaller gender gaps in unpaid work, mainly due to a decrease in the amount of time women devote to care work. Women in these households devote more time to paid work, such that the gender gap in total work does not differ between households based on use of ECEC services. However, use of ECEC services for children aged 0 to 5 is associated with reduced hours of unpaid work among women and an increase in women’s hours of paid work. These findings confirm the importance of increasing access to early childhood care and education services to reduce gender gaps in the region. © The Author(s) 2023.</t>
  </si>
  <si>
    <t>10.1177/0192513X231194296</t>
  </si>
  <si>
    <t>Amarante, Veronica; Colacce, Maira</t>
  </si>
  <si>
    <t>Multidimensional Poverty Among Older People in Five Latin American Countries</t>
  </si>
  <si>
    <t>SOCIAL INDICATORS RESEARCH</t>
  </si>
  <si>
    <t>Older people; Multidimensional poverty; Latin America</t>
  </si>
  <si>
    <t>This paper offers an updated picture of the nature of deprivation in old age in Latin America, as well as an analysis of its different dimensions. Based on harmonized cross-sectional social protection surveys for Chile, Colombia, Paraguay, El Salvador, and Uruguay we estimate and compare multidimensional poverty indices for older adults. We consider the following dimensions: housing, health, labor and social security, and education. Our results illustrate the disparities in multidimensional poverty of the older people across the region. We also provide original evidence about deprivations in health that go beyond health coverage and underline the importance of Social security at older ages. The general picture indicates that Housing is the dimension with lower deprivation rates, whereas Health presents the higher levels of deprivation. Chile and Uruguay stand out for their relatively good performance in Labor and Social Security.</t>
  </si>
  <si>
    <t>10.1007/s11205-021-02782-9</t>
  </si>
  <si>
    <t>Amin C.; Sukamdi; Rijanta</t>
  </si>
  <si>
    <t>Staying decision making process in disaster prone area: A grounded theory method study on fishermen community in Semarang Coast, Indonesia</t>
  </si>
  <si>
    <t>Humanities and Social Sciences Reviews</t>
  </si>
  <si>
    <t>Climate change; Decision-making process; Fishermen community; Immobility; Migration; Tambak Lorok; Tidal inundation</t>
  </si>
  <si>
    <t>Purpose of the Study: In an increasing migration driven by climate change disaster, there are people who remain to stay in disaster-prone areas. Even though there is little research on migration to understand non-migrant people, this study seeks to understand the staying decision making process and understand how and why people stay in disaster-prone areas. Methodology: Grounded Theory Method (GTM) is used in this research. The qualitative approach in this study is intended to gain individual insights to reveal the process and steps of staying decision-making in disaster prone-areas. Applications: This study was conducted in the Semarang coastal area, which is simultaneously prone to three disasters, i.e., sea level rise, land subsidence, and tidal inundation. The study shows that staying decision-making was taken in household units. The staying decision-making process consists of interactions between four components: availability of options, motives, expectations, and incentives. Results: Exploring the decision to stay is an opportunity to understand migration processes in a new way. This research adds a conceptual study to the migration literature on the basis of existing theories to explain immobility in disaster-prone areas. © Amin et al.</t>
  </si>
  <si>
    <t>10.18510/hssr.2019.7238</t>
  </si>
  <si>
    <t>Anderson, Kelly K.; Khan, Jahin Ali; Edwards, Jordan; Le, Britney; Longobardi, Giuseppe; Witt, Ivan; Alonso-Sanchez, Maria Francisca; Palaniyappan, Lena</t>
  </si>
  <si>
    <t>Lost in translation? Deciphering the role of language differences in the excess risk of psychosis among migrant groups</t>
  </si>
  <si>
    <t>PSYCHOLOGICAL MEDICINE</t>
  </si>
  <si>
    <t>incidence; language; migration; psychotic disorders; public mental health</t>
  </si>
  <si>
    <t>Background Migration is a well-established risk factor for psychotic disorders, and migrant language has been proposed as a novel factor that may improve our understanding of this relationship. Our objective was to explore the association between indicators of linguistic distance and the risk of psychotic disorders among first-generation migrant groups.Methods Using linked health administrative data, we constructed a retrospective cohort of first-generation migrants to Ontario over a 20-year period (1992-2011). Linguistic distance of the first language was categorized using several approaches, including language family classifications, estimated acquisition time, syntax-based distance scores, and lexical-based distance scores. Incident cases of non-affective psychotic disorder were identified over a 5- to 25-year period. We used Poisson regression to estimate incidence rate ratios (IRR) for each language variable, after adjustment for knowledge of English at arrival and other factors.Results Our cohort included 1 863 803 first-generation migrants. Migrants whose first language was in a different language family than English had higher rates of psychotic disorders (IRR = 1.08, 95% CI 1.01-1.16), relative to those whose first language was English. Similarly, migrants in the highest quintile of linguistic distance based on lexical similarity had an elevated risk of psychotic disorder (IRR = 1.15, 95% CI 1.06-1.24). Adjustment for knowledge of English at arrival had minimal effect on observed estimates.Conclusion We found some evidence that linguistic factors that impair comprehension may play a role in the excess risk of psychosis among migrant groups; however, the magnitude of effect is small and unlikely to fully explain the elevated rates of psychotic disorder across migrant groups.</t>
  </si>
  <si>
    <t>10.1017/S003329172400117X</t>
  </si>
  <si>
    <t>Andonaegui I.P.; Claro C.; Suárez J.A.B.</t>
  </si>
  <si>
    <t>Use of social networks by Colombian Migrants in Chile; [O uso de redes sociais em Migrantes Colombianos no Chile]; [El uso de redes sociales en Migrantes Colombianos en Chile]</t>
  </si>
  <si>
    <t>Signo y Pensamiento</t>
  </si>
  <si>
    <t>Copresentiality; Family roles; Internet; Migration; Social networks</t>
  </si>
  <si>
    <t>This paper explores how social networks allow that migrants and their transnational families may control when and how communicate in order to keep in contact in real time with their homeland communities, as well as preserving their traditions and practices. This way, they keep a copresentiality (Baldassar, 2016). This work is conducted under a qualitative methodology including dyadic interviews to twenty subjects from different Colombian families who experienced that one of their family members went to Chile. The results show noticeably that WhatsApp is the most frequently used social network due to its assorted features for getting connected both synchronically and diachronically. The subjects reported an increase in the feeling of distancing and separation despite the digitally-enabled closeness. The evidence also shows some efforts by the migrants to maintain their roles as a mother, a brother or a son thanks to the use of social networks. © Licencia Creative Commons CC BY 4.0</t>
  </si>
  <si>
    <t>10.11144/JAVERIANA.SYP39-76.URSM</t>
  </si>
  <si>
    <t>Andreucci-Annunziata, Paola; Mansilla-Turra, Claudia; Montecino-Ávila, Cecilia</t>
  </si>
  <si>
    <t>Inclusión educativa y parentalidad positiva: la perspectiva de niños y niñas inmigrantes venezolanos/as de primer ciclo escolar en escuelas públicas de Santiago de Chile</t>
  </si>
  <si>
    <t>Educación</t>
  </si>
  <si>
    <t>inclusive education; positive parenting; migration; emotional support</t>
  </si>
  <si>
    <t>Abstract The study is part of the educational inclusion (EI) of migrant children. It focuses on the increase of Venezuelan immigrant families in Santiago de Chile and the entry of their children to the first school cycle. The objective was to provide a voice to this age group in order to describe how positive parenting becomes a protective agent of their IE. Non-experimental descriptive qualitative approach research used open coding guided by the study objectives. To do this, a thematic script, validated by three independent experts, was applied to a focus group of 30 students, inserted in three public schools. The results allow us to conclude that positive parenting skills, especially emotional support skills, have a positive impact on EI.</t>
  </si>
  <si>
    <t>59</t>
  </si>
  <si>
    <t>10.18800/educacion.202102.009</t>
  </si>
  <si>
    <t>Angelica Franken, M.</t>
  </si>
  <si>
    <t>Affective forests and migrant bodies: the German colonization of southern Chile in recent Chilean and Mapuche literature</t>
  </si>
  <si>
    <t>ALTRE MODERNITA-RIVISTA DI STUDI LETTERARI E CULTURALI</t>
  </si>
  <si>
    <t>forest; body; german migration; colonial violence; Chilean and Mapuche poetry</t>
  </si>
  <si>
    <t>The repercussions and paradoxes of the German Colonization in Southern Chile during the XIXth Century, and their following projections in the XXth Century, has been recently considered by Chilean poets with German ancestry such as Gloria Dunkler (Fuchse von Llafenko, Spandau) and Clemente Riedemann (Karra Maw'n), as well as by Mapuche poets such as Jaime Huenun (Reducciones). Within these collections of poems, the actions of the first settlers (European Migrants) are exposed and represented along with their foundational discourse, and their disturbed relationship with the displaced native populations. It is thus proposed an examination of the German immigration from the idea-image of the natural forest, which allows the affective connection of the settler with his country of origin under the spectrum of a nationalistic and romantic imaginary (Barbian), and the meaning of the forest as a symbol, following Canetti's (Crowds and Power) concept of closed crowd, and as an army - a collective body - which ravages the native bodies, alters the natural landscape, and establishes discourses of exceptionality.</t>
  </si>
  <si>
    <t>Angosto-Ferrández L.F.</t>
  </si>
  <si>
    <t>Cultural labor and the defetishization of environments: connecting ethnographies of tourism in Venezuela and Chile</t>
  </si>
  <si>
    <t>Dialectical Anthropology</t>
  </si>
  <si>
    <t>Chile; Commodity fetishism; Cultural labor; Mapuche; Pemon; Tourism; Venezuela</t>
  </si>
  <si>
    <t>This paper compares the development of the tourism industry in two different Latin American locations: a municipality of Chile’s Araucanía and Venezuela’s Gran Sabana. In both locations, part of the indigenous population shows interest in the development of this industry, which presents potential as a source of locally generated income. This comparison focuses on examining how property rights and relations shape and are reshaped by the expansion of tourist activities in these locations, shedding light on two additional questions: first, the socioeconomic conditions that help explain the increasing participation of the indigenous population in the expansion of tourism in these regions; second, a cultural phenomenon that this expansion stimulates: the circulation of discursive representations of local environments as permanently inscribed with a particular form of collective labor. This paper will conceptualize this labor as “cultural labor” and, drawing from theorizations of the fetishism of commodities, will argue that the widespread appeals to this labor constitute a (paradoxical) form of discursive defetishization that is fostered by the logic of the tourist industry. This form of defetishization discursively subverts the principle of concealment that pervades commodity fetishism as theorized by Marx, but it is nonetheless a functional part of a social process that reinscribes and rearticulates capital as a social relation among the populations of these regions. © 2021, The Author(s), under exclusive licence to Springer Nature B.V.</t>
  </si>
  <si>
    <t>10.1007/s10624-021-09639-0</t>
  </si>
  <si>
    <t>Anton, Beatriz Ferrus</t>
  </si>
  <si>
    <t>MIGRANT AFFECTIONS IN EL SISTEMA DEL TACTO BY ALEJANDRA COSTAMAGNA</t>
  </si>
  <si>
    <t>CARTAPHILUS</t>
  </si>
  <si>
    <t>Alejandra Costamagna; archive; women; migration; Chilean literature</t>
  </si>
  <si>
    <t>Alejandra Costamagna's El sistema del tacto uses a family archive (photographs, letters, books and forgot-ten objects) to tell the story of several generations of a family marked by migrations, from Piamonte to Argentina and from here to Chile. Our work analyses the theory of the archive that the text proposes as a guiding thread to address its different levels of reading, especially the one that allows us to trace the gene-alogies and alliances between two gen-erations of women.</t>
  </si>
  <si>
    <t>Antonio Gonzalez-Pizarro, Jose</t>
  </si>
  <si>
    <t>From the influence of social darwinism to the reign of human rights. Immigration in chile between 1907 and 2018</t>
  </si>
  <si>
    <t>ESTUDIOS DE DERECHO</t>
  </si>
  <si>
    <t>immigration; laws; Chile; darwinism; human rights</t>
  </si>
  <si>
    <t>We analyze the migration policies implemented by the State of Chile between two milestones in the migratory explosion, 1907 and 2018,at which the national population censuses recorded the highest percentages of foreigners in the country. To do this, we study Chilean Immigration regulations, with their corresponding contexts: the context In 1907, with the Influence of so-called social Darwinism that Influenced racism, society's xenophobia, and in 2018, with the incidence of human rights in national legislation and with the persistence of elements perceived in 1907. This convergence of ideas in society and State actions applies to extra-continental immigration segments in 1907 and continental immigration groups in 2018.</t>
  </si>
  <si>
    <t>10.17533/udea.esde.v77n169a13</t>
  </si>
  <si>
    <t>Aparicio-Arias R.; Moreno J.</t>
  </si>
  <si>
    <t>Factors influencing public procurement during disasters: the cases of Chile and New Zealand</t>
  </si>
  <si>
    <t>Journal of Public Procurement</t>
  </si>
  <si>
    <t>Chile; Disaster; Earthquake; Government; New Zealand; Public procurement</t>
  </si>
  <si>
    <t>Purpose: This paper aims to explore public procurement frameworks during disasters in Chile and New Zealand, identifying the factors that affect government procurement performance in disaster response. Design/methodology/approach: This research adopted a case study methodology following a qualitative approach. Semi-structured interviews were conducted with government officers from Chile and New Zealand who had practice-relevant knowledge of public procurement and disaster management. Data was complemented by document reviews, including government reports and the records of disaster management organizations. Findings: This paper finds public procurement to be negatively affected by several factors during disasters, including celerity and flexibility of response; market and supplier restrictions; pressures over procurement teams; centralism of procurement structures; lack of technical knowledge; competition and crossover of agreements; corruption; and price variations. Practical implications: This paper includes policy recommendations on how to increase the effectiveness of disaster management and public procurement systems in countries at high risk of earthquakes and other disasters. Social implications: This paper can help public procurement officers to provide a better response during disasters, supplying the goods and services required to the affected population in a timely and effective manner. Originality/value: This paper addresses a gap in research by identifying factors which negatively impact government procurement and response during a disaster. © 2021, Emerald Publishing Limited.</t>
  </si>
  <si>
    <t>10.1108/JOPP-01-2021-0002</t>
  </si>
  <si>
    <t>Arancibia, Hector; Leihy, Pete; Samari, Davood</t>
  </si>
  <si>
    <t>A Generation 1.5 Palestinian Diaspora Child Refugee in Chile</t>
  </si>
  <si>
    <t>JOURNAL OF LOSS &amp; TRAUMA</t>
  </si>
  <si>
    <t>Extra-regional refugee; Generation 1; 5; young refugees; forced migration; resettlement; Iraq War (2003-); interfaith aid</t>
  </si>
  <si>
    <t>This study follows a former child refugee's experience of family resettlement in Chile. Born into the Palestinian Iraqi community further imperiled by the 2003 invasion of Iraq, his family fled first to the Al-Tanf refugee camp before placement in Chile. While most of the world's refugees dwell in marginal conditions in areas neighboring conflicts, another strain of permanent settlement has been highly developed amongst some of the wealthiest countries. For countries such as Chile-by strict definition now high-income, but only newly considering a role as a haven for refugees-tentative steps toward resettlement protocols mean that case data are limited. By carefully studying a family's resettlement and subsequent experience from a child refugee's reflections, it is possible to sketch out and understand a range of challenges at the human scale of supporting refugees.</t>
  </si>
  <si>
    <t>10.1080/15325024.2020.1819020</t>
  </si>
  <si>
    <t>Aranda Bustamante, Gilberto; Borquez Paredes, Alberto</t>
  </si>
  <si>
    <t>THE VENEZUELAN ISSUE AND THE FRACTURE OF LATIN AMERICAN REGIONALISM</t>
  </si>
  <si>
    <t>HISTORIA 396</t>
  </si>
  <si>
    <t>Venezuela; intermestic; human security; migration</t>
  </si>
  <si>
    <t>The political and economic situation of Venezuela during the government of Nicolas Maduro has provoked a series of diplomatic responses from States around the world and, particularly, from the governments of the American continent. In a context in which the human security of the population is threatened by uncertainty and material shortages, Venezuelan migration to countries such as Colombia, Peru, Ecuador and Chile has grown to an unprecedented scale for the region, leading to an increased internationalization of the crisis, as governments begin to deal with the crisis as an intermestic issue.The institutional reactions by the countries of the region were channelled, at first, through the Organization of American States and later through the so-called Lima Group, complemented also by unilateral sanctions. With the political shift in the governments of the region and the persistence of Venezuela's internal problems -and their external consequences-, the declarations of condemnation to the Venezuelan government have been progressively more categorical. However, the proposals are divergent, from welcoming the dialogue between government and opposition and putting the emphasis on the human security issues of the affected population, to making direct calls for military intervention into the country.</t>
  </si>
  <si>
    <t>Araos, Francisco; Saldívar, Juan Manuel; Lazo, Alejandra; Ther-Ríos, Francisco</t>
  </si>
  <si>
    <t>Diálogos antropológicos para descifrar la crisis socioambiental en Chiloé</t>
  </si>
  <si>
    <t>Socio-environmental crisis; Chiloé; Public Anthropology; Transformation</t>
  </si>
  <si>
    <t>Abstract: During the first months of 2016, diverse ecological perturbations in the marine ecosystem arose in the Chiloé archipelago which caused one of the most severe socio-environmental crises of the last years in the southern Chile. Although it is possible to identify the specific limits of the crisis associated to the algal bloom, the research presented in this paper shows that the crisis is part of a broad process of socio-environmental transformation experienced in the archipelago with implications to the different social and ecological life dimensions of Chiloé. Based on anthropological research carried out over the last seven years, this paper presents, as an anthropological dialogue, the key elements that allow for the untangling of Chiloé&amp;apos;s socio-environmental crisis: a history of the boom and the decline of the exploitation of natural resources, territorial conflicts and collective action strategies of local groups, the intra and extra-regional migration phenomena and the dynamics of archipelagic mobility. Taking into account these different dimensions and approaches, this paper discusses the intersections between research and public anthropology, identifying the main challenges that the socio-environmental crisis imposes over the discipline. In short, this article exposes the evidence of the unfolding of a transformation process, whose future, still uncertain, could represent the shifting point for a territorial recomposition of the Chiloé archipelago.</t>
  </si>
  <si>
    <t>1</t>
  </si>
  <si>
    <t>10.7770/0719-2789.2019.cuhso.02.a07</t>
  </si>
  <si>
    <t>Aravena Kenigs, Omar; Riquelme Bravo, Paula; Mellado Hernández, Mª Elena; Villagra Bravo, Carolina</t>
  </si>
  <si>
    <t>Inclusión de Estudiantes Migrantes en la Región de La Araucanía, Chile: Representaciones desde los Directivos Escolares</t>
  </si>
  <si>
    <t>Revista latinoamericana de educación inclusiva</t>
  </si>
  <si>
    <t>Leadership; Inclusion; Interculturality; Student; Migration</t>
  </si>
  <si>
    <t>Abstract: Chile's increasing migration phenomenon, added to the ethnic and cultural diversity of the territory, challenges school leaders to rethink educational stages that fortify the processes of inclusion and social justice. In this context, the aim of this article is to describe the representations of senior teachers about the inclusion of migrant students in schools in La Araucanía region, Chile. The research uses an assorted method and has a descriptive coverage. The participants are 79 directors of schools and high-schools subsidized by the State. The results evidence that school leaders assume school inclusion from a technical approach and develop practices mainly focused on accomplish with the regulations of the Inclusion Law, above the implementation of practices aimed to assist the professional development of teachers and student´s learning. The conclusions highlight the need to move towards more inclusive and critical leaderships, capable of influencing practices based on the recognition and assessment of student´s differences as an opportunity to assist the teaching-learning process and promote professional teacher development.</t>
  </si>
  <si>
    <t>Aravena Reyes, Andrea; Alt Álvarez, Carolina</t>
  </si>
  <si>
    <t>Juventud, migración y discriminación en el Chile contemporáneo</t>
  </si>
  <si>
    <t>Ultima década</t>
  </si>
  <si>
    <t>youth; migration; discrimination; social imageries; peruvians</t>
  </si>
  <si>
    <t>This article will examine the issue of youth migration in Contemporary Chile and addresses the perception from «the youth» of otherness in the country, both from the point of view of the Chilean population and from the point of view immigrants. From sources of quantitative information, such as Census 2002 and casen 2006, Fifth and Sixth Series versions of the Youth Survey of Chile (2007 and 2010), and a set of qualitative background own production, as a result of discussion groups for young immigrants in Chile, results of in depth interviews with Peruvian immigrants and focus groups with people on Chilean immigrants.</t>
  </si>
  <si>
    <t>36</t>
  </si>
  <si>
    <t>Araya, Isabel</t>
  </si>
  <si>
    <t>Migración, género y danza. Trayectorias de mujeres afrodescendientes en el norte de Chile</t>
  </si>
  <si>
    <t>REMHU REVISTA INTERDISCIPLINAR DA MOBILIDADE HUMANA</t>
  </si>
  <si>
    <t>body itinerary; life history; body map; Afro-Colombian women; Chile</t>
  </si>
  <si>
    <t>Abstract This research investigates the corporeal dimension of intersectionality among migrant women. For this purpose, it considers the bodily trajectories of Afro-Colombian women in Arica, northern border of Chile, where the Afro-Chilean movement is also developing. In the last decade, the arrival of Afro-Latin American and Afro-Caribbean population to the country has provoked reactions of racism, discrimination and xenophobia. In turn, two decades ago, the Afro-Chilean movement formed organizations that demanded the effective recognition of their communities, among them musical groups. From a qualitative approach, two life stories and body maps are made with Afro-Colombian women who participate in the Afro-Chilean movement through dance, and their body processes linked to migrant trajectories are studied in depth. It is highlighted that for Afro-descendant migrant women, dance becomes a strategy linked to their bodies that promotes processes of agency.</t>
  </si>
  <si>
    <t>67</t>
  </si>
  <si>
    <t>10.1590/1980-85852503880006707</t>
  </si>
  <si>
    <t>Arbour M.; Yoshikawa H.; Willett J.; Weiland C.; Snow C.; Mendive S.; Barata M.C.; Treviño E.</t>
  </si>
  <si>
    <t>Experimental Impacts of a Preschool Intervention in Chile on Children's Language Outcomes: Moderation by Student Absenteeism</t>
  </si>
  <si>
    <t>Journal of Research on Educational Effectiveness</t>
  </si>
  <si>
    <t>attendance; Chile; chronic absenteeism; experiment; impact moderation; Latin America; preschool education; regression-based subgroup analysis</t>
  </si>
  <si>
    <t>Despite consensus that school absenteeism has negative consequences for children's life outcomes, until recently, little was known about the prevalence of absenteeism or its potential to moderate the impacts of school-based interventions. This study provides evidence from a randomized experiment of a preschool intervention involving 1,876 children in 64 schools in Chile that chronic absenteeism develops in preschool and is predicted by multiple risk factors for poor academic achievement. We find moreover that individual children's likelihood of absenteeism moderated the intervention's impact on children's language and literacy outcomes such that there were positive impacts of the intervention only for children with the lowest likelihood of absenteeism. Experimental evaluations of school-based interventions that do not take absenteeism into account may thus mask heterogeneous effects. In the context of policy pushes to expand early education and preschool access in the United States and globally, these moderation analyses may prove essential for appropriately interpreting the results of experimental studies of school-based interventions. © 2016, © Taylor &amp; Francis Group, LLC.</t>
  </si>
  <si>
    <t>10.1080/19345747.2015.1109013</t>
  </si>
  <si>
    <t>Arcila-Calderón C.; Blanco-Herrero D.; Matsiola M.; Oller-Alonso M.; Saridou T.; Splendore S.; Veglis A.</t>
  </si>
  <si>
    <t>Framing Migration in Southern European Media: Perceptions of Spanish, Italian, and Greek Specialized Journalists</t>
  </si>
  <si>
    <t>Journalism Practice</t>
  </si>
  <si>
    <t>COVID-19; Greece; Italy; journalism; media framing; migration; Spain</t>
  </si>
  <si>
    <t>Greece, Italy, and Spain are the Southern European borders and the main entrances for migrants and refugees to Europe, a movement that was particularly visible after the 2015 “refugee crisis of the Mediterranean.” In this context, immigration is used as a political tool, and the object of major media coverage. However, previous studies have shown that this coverage tends to be partial and prejudiced. This study, conducted during the COVID-19 pandemic, uses the frame building theory to study the perceptions of journalists covering migration issues regarding ways to improve the representation of migrants in the media of these three countries. For that, in-depth interviews were conducted with 94 Greek, Italian, and Spanish journalists. The precarity of the profession, the focus on conflictive approaches, and discrimination based on national origin or religion are mentioned as the biggest challenges. Professionals covering this information demand more individualized and deeper coverage, giving the migrants’ condition greater visibility, and giving voice to the migrants themselves, as they are the protagonists of the stories. Greater attention to journalistic ethics and the defense of vulnerable groups is considered essential to achieve this. © 2022 The Author(s). Published by Informa UK Limited, trading as Taylor &amp; Francis Group.</t>
  </si>
  <si>
    <t>10.1080/17512786.2021.2014347</t>
  </si>
  <si>
    <t>Ardanaz M.; Mares I.</t>
  </si>
  <si>
    <t>Labor Shortages, Rural Inequality, and Democratization</t>
  </si>
  <si>
    <t>Comparative Political Studies</t>
  </si>
  <si>
    <t>democratization; inequality; labor scarcity; migration; rural inequality; secret ballot</t>
  </si>
  <si>
    <t>A large body of scholarship has asserted that inequalities in the distribution of fixed assets act as a barrier to democratic transitions. This article proposes a theoretical and empirical amendment of this finding, by arguing that employment conditions in the countryside, rather than inequalities in the distribution of fixed assets affected electoral outcomes in societies characterized by high levels of rural inequality. Using empirical evidence from the Prussian districts of Imperial Germany during the period between 1871 and 1912, we show that relative labor market shortages of agricultural workers affected electoral outcomes under conditions of an imperfect protection of electoral secrecy. Shortages of agricultural workers reduced the electoral strength of conservative politicians and increased the willingness of rural voters to “take electoral risks” and vote for the opposition Social Democratic Party. Labor shortages also affect preferences of individual legislators over the reform of electoral institutions. We find that politicians in districts experiencing high levels of labor shortage, and thus, higher costs of electoral intimidation are more willing to support changes in electoral rules that increase the protection of electoral secrecy. In theoretical terms, our findings contribute to the literature linking rural inequality and democratization, by demonstrating the importance of labor scarcity as a source of political cleavages over electoral reforms. © The Author(s) 2013.</t>
  </si>
  <si>
    <t>10.1177/0010414013512609</t>
  </si>
  <si>
    <t>Arellano J.M.S.</t>
  </si>
  <si>
    <t>Lived religion, migration and transnationalism. the case of the nazarene of caguach in punta arenas, chile, and río gallegos, Argentina; [Religión vivida, migración y transnacionalismo. el caso del nazareno de caguach en punta arenas, chile, y río gallegos, Argentina]</t>
  </si>
  <si>
    <t>MIGRACIONES INTERNACIONALES</t>
  </si>
  <si>
    <t>Chile-argentina; Chiloé; Migration; Religion; Transnationalism</t>
  </si>
  <si>
    <t>This article reports ethnographic findings on the religious assemblage of the Nazarene of Caguach in Punta Arenas, Chile, and Río Gallegos, Argentina, describing a popular tradition that took root in the Chiloé archipelago and then spread to new regions through different historical stages of migrant circulation. It shows how the development of this religious phenomenon led to the formation of communities, the creation of ritual families, the expansion of networks, and the circulation of meanings. In this sense, this work explores how these religious practices established community ties by preserving traditions in multi-sited settings. © 2019, El Colegio de la Frontiera Norte. All rights reserved.</t>
  </si>
  <si>
    <t>10.33679/rmi.v1i1.2184</t>
  </si>
  <si>
    <t>Argiro M.A.E.; Alexandra L.M.; Darío P.G.H.; Miriam R.A.</t>
  </si>
  <si>
    <t>Migration and tourism in flow territories in the context of globalization; [Migración y turismo en territorios de flujo en el contexto de la globalización]</t>
  </si>
  <si>
    <t>Revista Venezolana de Gerencia</t>
  </si>
  <si>
    <t>globalization; inequality; migration; territory; tourism</t>
  </si>
  <si>
    <t>The mobility displayed by tourism and migration in the current conditions of globalization not only reflects conditions of inequality between who mobilizes and the effects where it arrives, but also produces a particular type of territory, of flows. The objective of this article is to analyze the way in which the globalization process produces a territory of flows through two phenomena of human mobility such as tourism and migration. A mixed methodology is used, structured in two moments: first, a review and analysis of the literature on the relationship between tourism and migration is developed; Second, a statistical and cartographic analysis of the recent behavior of both phenomena is carried out. It is concluded that both tourism and migration represent the mobility that characterizes current globalization and, at the same time, local-global-local relations, configuring a territory of flows that reflects the unequal and dominant socioeconomic conditions of the current era. On the one hand, a growing exclusion of migrants and, on the other, a consumerist opulence from tourist trips. © 2022, Universidad del Zulia. All rights reserved.</t>
  </si>
  <si>
    <t>10.52080/rvgluz.27.100.17</t>
  </si>
  <si>
    <t>Argote P.; Perelló L.</t>
  </si>
  <si>
    <t>Explaining the Impact of South-South Migration: Evidence from Chile’s Immigration Boom</t>
  </si>
  <si>
    <t>Journal of International Migration and Integration</t>
  </si>
  <si>
    <t>Chile; Fiscal burden; Latin America; Migration; Skill level; Xenophobia</t>
  </si>
  <si>
    <t>Studies have extensively documented the effect of immigration on anti-immigration attitudes in high-income democracies. However, comparative political research has devoted less attention to South-South migration. We examine the impact of immigration on attitudes toward immigrants in Chile, which has experienced a threefold increase in its foreign-born population in the last decade. Using an instrumental variable design, we find that exposure to immigration increases hostile attitudes toward immigrants. Regarding the underlying factors driving hostile attitudes toward foreign-born groups, we find robust evidence pointing to immigration creating a public service shortage, which could explain the observed hostility. Conversely, we do not report evidence backing cultural anxieties or labor market competition. Hence, the Chilean case points to anti-immigrant attitudes gaining ground in contexts where welfare state provisions are limited and often precarious. © The Author(s), under exclusive licence to Springer Nature B.V. 2024.</t>
  </si>
  <si>
    <t>10.1007/s12134-024-01150-z</t>
  </si>
  <si>
    <t>Ariza M.</t>
  </si>
  <si>
    <t>Migration and family in Mexican research: A recent appraisal; [Migración y familia en la investigación Mexicana: Un balance reciente]</t>
  </si>
  <si>
    <t>Analytical dimensions; Challenges; Family; Methodological approaches; Migration</t>
  </si>
  <si>
    <t>An analysis has been conducted of the path taken by research on migration and family in Mexico in the past six years (2007-2012), with the aim of highlighting emerging lines, analytical approaches, main concepts and methodological strategies. The results point to the opening up of new fields of reflection, such as the relationship between emotion, affect and migration, and the problems of migrant children, together with the continued existence of fairly consolidated areas. They also show a degree of mainstreaming of the gender approach and a significant yet uneven presence of transnationalism as the most important analytical framework in recent decades, as well as the predominance of qualitative methodological strategies.</t>
  </si>
  <si>
    <t>Ark-Yildirim C.; Smyrl M.</t>
  </si>
  <si>
    <t>Social cash transfer in Turkey: Toward market citizenship</t>
  </si>
  <si>
    <t>Social Cash Transfer in Turkey: Toward Market Citizenship</t>
  </si>
  <si>
    <t>Cash transfer programs; Citizenship; ESSN; European union; Forced migration; Humanitarian assistance; Humanitarian assistance; Humanitarian cash-transfer; Market citizenship; Migration; Migration policy; Migration policy; Non-governmental organisations; Open access; Public policy; Refugee policy; Refugees; Social cash transfer; Social policy; Turkey</t>
  </si>
  <si>
    <t>This open access book asks whether cash-transfer programs for very low-income households promote social and economic citizenship and, if so, under what conditions. To this end, it brings together elements that are too often considered separately: the transformation of social and economic citizenship rights in a market-centered context, and the increasing popularity of cash transfer as an instrument both of social policy and humanitarian action. We link these by juxtaposing theoretical treatment of citizenship and inclusion with concrete policy case studies set in contemporary Turkey. Cases are taken both from domestic social policy and international relief efforts aimed at Syrian refugees. Theoretical discussion and case studies lead to the conclusion that cash transfer programs can promote economic and social inclusion - if deployed at an appropriate scale; if sufficient financial, technical, and social resources are available; and if program design and implementation promotes market inclusion of beneficiaries both as consumers and workers. © The Editor(s) (if applicable) and The Author(s) 2021. All rights reserved.</t>
  </si>
  <si>
    <t>10.1007/978-3-030-70381-3</t>
  </si>
  <si>
    <t>Armony, Ariel C.; Velasquez, Nicolas</t>
  </si>
  <si>
    <t>Anti-Chinese Sentiment in Latin America: An Analysis of Online Discourse</t>
  </si>
  <si>
    <t>JOURNAL OF CHINESE POLITICAL SCIENCE</t>
  </si>
  <si>
    <t>Sino-Latin American Relations; Public Opinion; Social Media China; Latin America; Anti-Chinese</t>
  </si>
  <si>
    <t>After a decade long surge in Sino-Latin American trade, the bilateral relationship has gained political and cultural complexity. Recent public opinion polls depict a mildly positive opinion of China in Latin America. Nonetheless, these polls are not well suited to unveiling the framing of anti-Chinese attitudes that are present among the Latin American public. This research draws on Facebook users' comments on news articles about China found in eight major newspapers from Argentina, Colombia, Chile, Mexico, and Peru. Our main goal is to gain insights into the concepts that structure negative views on China and to reconstruct narratives of anti-Chinese sentiment in Latin America today. Opinions triggered by news about China reveal that China's rise has generated anxieties due mainly to the perceived threats posed by environmental impacts, outward migration, and the demand for natural resources. In addition, these opinions elicit concern over Latin America's own development.</t>
  </si>
  <si>
    <t>10.1007/s11366-015-9365-z</t>
  </si>
  <si>
    <t>Aroca P.; Atienza M.</t>
  </si>
  <si>
    <t>Economic implications of long distance commuting in the chilean mining industry</t>
  </si>
  <si>
    <t>Resources Policy</t>
  </si>
  <si>
    <t>Labor commuting impact; Long distance commuting; Spillover by labor commuting</t>
  </si>
  <si>
    <t>More than 10% of the labor force that works in Antofagasta lives in other regions, commuting on average more than 800. km in a shift system that allows working several days in a row followed by several days off. The mining industry is the main contractor of such workers and the impact of the process spreads through the rest of the Chilean territory.Using an input-output approach, this paper shows that a significant amount of resources generated by the mining industries in the Region of Antofagasta goes to other regions in wages earned by commuters who have decided to work in this region but live in another. The commuting process seems to be driven by centripetal forces that support centralization, thus arguing for regional policies to promote the attractiveness of the peripheral regions. © 2011 Elsevier Ltd.</t>
  </si>
  <si>
    <t>10.1016/j.resourpol.2011.03.004</t>
  </si>
  <si>
    <t>Arredondo Herrera, Pamela Alejandra; Paidicán Soto, Miguel Ángel</t>
  </si>
  <si>
    <t>La educación interculturalidad en Chile: Revisión de literatura</t>
  </si>
  <si>
    <t>Revista de estudios y experiencias en educación</t>
  </si>
  <si>
    <t>Interculturality; intercultural education; basic education; pre-basic educa tion; secondary education; Chile</t>
  </si>
  <si>
    <t>ABSTRACT Schools and high schools in Chile are currently facing several challenges, among them the increase in migration, where intercultural education is a key issue. The aim of this article is to analyse the scientific literature on intercultural educa tion in Chile, from pre-school to secondary education. The search methodolo gy, planning, conducting, and reporting of the review correspond to Kitchenham (2004); the review considers 23 articles indexed in the international databases Web of Science, SCOPUS, and Dimensions in the period from December 2000 to Mar ch 2021. The findings reveal a limited scientific production of intercultural education in pre-school, primary, and secondary education, with 8.01% of the articles analysed. The bibliometric indexes show a lack of exponential growth due to the absence of publications in 2020, 2011, and 2013. It is concluded that teachers need to participate in professional development processes, focusing on aspects related to the curriculum and intercultural competences. Future lines of research should prioritize intercultural pedagogy, focusing on dialogue and respect for diversity.</t>
  </si>
  <si>
    <t>49</t>
  </si>
  <si>
    <t>10.21703/rexe.v22i49.1394</t>
  </si>
  <si>
    <t>Book chapter</t>
  </si>
  <si>
    <t>Arriagada I.; Miranda F.</t>
  </si>
  <si>
    <t>Social Organization of Care in Chile</t>
  </si>
  <si>
    <t>Latin American Societies</t>
  </si>
  <si>
    <t>Care; Chile; Migrants; Paid; Unpaid; Welfare; Work</t>
  </si>
  <si>
    <t>This chapter examines the organization of social care in Chile, within a context of increasing demand for care and a reconfiguration, in recent years, of the provision of care provided by the institutional and the private sector. The text begins with a brief review of the welfare and care regime in Chile, specifically observing the State provision of care for childhood, the elderly, and disabled people. Then, an examination of the demographic and sociocultural transformations affecting the crisis of the traditional model of care provision, mainly imposed on women, is presented. Lastly, within the framework of the dynamics of commodification of care and intraregional migration processes, the evolution of paid and unpaid domestic work together with the situation of migrant workers is analyzed. Paid domestic work is a decisive strategy in the domestic organization of families against the limited public offer of care and the lack of family co-responsibility to ensure an equitable distribution of care work in homes. The chapter concludes with several recommendations for a further development of policies and research of social organization and care in Chile. © 2021, Springer Nature Switzerland AG.</t>
  </si>
  <si>
    <t>Part F1331</t>
  </si>
  <si>
    <t>10.1007/978-3-030-51693-2_10</t>
  </si>
  <si>
    <t>Atienza M.; Aroca P.</t>
  </si>
  <si>
    <t>Concentration and growth in Chile: A negative relationship ignored; [Concentración y crecimiento en Chile: Una relación negativa ignorada]</t>
  </si>
  <si>
    <t>Eure</t>
  </si>
  <si>
    <t>Economic geography; Regional policy; Spatial concentration</t>
  </si>
  <si>
    <t>Different studies show that, given the size of Chile and its level of development, there is an excess of concentration of population and activity in the Metropolitan Region. Furthermore, during the past two decades, spatial inequality has increased in Chile. This situation could negatively affect national growth, something that has been systematically ignored in the design of public policies. This article shows that some market mechanisms, such as labor mobility and inter-regional trade flows, and many public policies tend to strengthen the centripetal forces that have shaped the economic geography of Chile during the past decades. These results reveal the need to incorporate explicitly and actively the "regional problem" in the national development strategy, not only as an equity problem, but also as part of the policies oriented to improve the efficiency of Chilean economy. © EURE.</t>
  </si>
  <si>
    <t>10.4067/S0250-71612012000200010</t>
  </si>
  <si>
    <t>Atienza M.; Lufin M.; Breul M.</t>
  </si>
  <si>
    <t>(Un)linking industrial path development and development outcomes through asset mobilisation: the decline of the territorial embeddedness of labour in mining regions</t>
  </si>
  <si>
    <t>Regional Studies</t>
  </si>
  <si>
    <t>Antofagasta; Chile; mining; Path development; regional economic development</t>
  </si>
  <si>
    <t>New industrial paths do not necessarily translate into regional economic development. This article investigates how the nature of asset mobilisation for path development affects the way new industries generate developmental outcomes. We analyse how a changing human capital mobilisation in the mining service supplier industry in Antofagasta (Chile) affected regional development opportunities. The declining territorial embeddedness of mining-related workers through long-distance commuting weakened mechanisms that translate path development into regional economic development. The study highlights the value of a multi-scalar focus on asset mobilisation processes to improve our understanding of what kind of regional development is generated by new paths. © 2024 Regional Studies Association.</t>
  </si>
  <si>
    <t>10.1080/00343404.2024.2342445</t>
  </si>
  <si>
    <t>Atuesta, Laura H.; Paredes, Dusan</t>
  </si>
  <si>
    <t>Do Mexicans flee from violence? The effects of drug-related violence on migration decisions in Mexico</t>
  </si>
  <si>
    <t>J61; coarsened matching equations; Internally displaced population (IDP); wage differentials; migration probability; Mincer equations</t>
  </si>
  <si>
    <t>This paper attempts to identify the existence of displacement in Mexico caused by drug-related violence. We identify two types of migrants: (i) migrants moving from nonviolent to violent states, driven by better economic opportunities and less expensive cost of living at destination and (ii) migrants moving from violent to nonviolent states: they still migrate even if the cost of living at destination is more expensive and economic opportunities are lower. Our hypothesis is that for the second type, migrants are fleeing from violence, and are willing to sacrifice economic opportunities in order to gain safety. For instance, when migrants move from nonviolent to violent states, they demand a salary 25% greater in order to increase the odds of migration in 10%. On the contrary, when migrants move from violent to nonviolent states, they only demand an increase in their salary of 15%.</t>
  </si>
  <si>
    <t>10.1080/1369183X.2015.1079122</t>
  </si>
  <si>
    <t>Atzeni, Maurizio; Sacchetto, Devi</t>
  </si>
  <si>
    <t>Locating labour conflict and its organising forms in contemporary times: between class and the reproduction of capitalism1</t>
  </si>
  <si>
    <t>PARTECIPAZIONE E CONFLITTO</t>
  </si>
  <si>
    <t>Labour conflict; class; migration; production and social reproduction; formal and informal employment; trade unions; workers'self-organisation</t>
  </si>
  <si>
    <t>The following article aims to provide a conceptually rooted introduction to the articles to be published in the internationally coordinated themed collection on 'Labour conflict, class and collective organization', an initiative which has involved four journals focusing on labour studies from different geographical angles and academic traditions: Economic and Labour Relations Review (ELRR); Global Labour Journal (GLJ); Partecipazione e Conflitto (PACO); and Revista Latino Americana de Estudios del Trabajo (RELET). The contributions to be published across the four journals are diverse, both in terms of geographical focus, disciplinary perspectives and sector of analysis.This diversity is very welcomed and represents a fertile soil for conceptual considerations, because it corresponds to the manifold forms in which labour conflict expresses itself in the reality of capitalism. What's the abstract unity of these concrete empirical realities, as Marx would have put this? In the following introduction we focus on two general theoretical issues we consider fundamental and mutually interrelated: a rethinking of workers' collective forms of organization within and beyond trade unions; the framing of these forms and of labour conflict in the broader historical dynamics of working classes formation. With this, we hope to provide a lens of analysis for the papers in the international special issue and more in general a methodological guidance to future studies on labour conflict.</t>
  </si>
  <si>
    <t>10.1285/i20356609v16i2p205</t>
  </si>
  <si>
    <t>Audebert, Cedric</t>
  </si>
  <si>
    <t>The recent geodynamics of Haitian migration in the Americas: refugees or economic migrants?</t>
  </si>
  <si>
    <t>Revista Brasileira de Estudos de População</t>
  </si>
  <si>
    <t>Migration policy; Refugees; Haitians; Latin America; North America, the Caribbean</t>
  </si>
  <si>
    <t>Abstract After having presented the specific migration context of Haiti and its multidimensional vulnerability, this paper shows that the diaspora geography explains, to a large extent, the location of Haitian refugees and asylum seekers in North America and the French Caribbean territories. Then, we explore the relation between migration policy evolution and the development of new migration routes towards South America, where the recognition of the multidimensional nature of this migration has paved the way for the legalization of Haitian migrants, particularly in Brazil. The complementary migration functions of Ecuador, Peru, Brazil and Chile created a new regional migration system centered on the Southeast and the South of Brazil. This emerging South-South migration route is part of a larger Haitian migration system that connects Latin America to North America and the Caribbean.</t>
  </si>
  <si>
    <t>10.20947/s0102-3098a0007</t>
  </si>
  <si>
    <t>Demography</t>
  </si>
  <si>
    <t>Ayala M.C.; Webb A.; Maldonado L.; Canales A.; Cascallar E.</t>
  </si>
  <si>
    <t>Teacher's social desirability bias and Migrant students: A study on explicit and implicit prejudices with a list experiment</t>
  </si>
  <si>
    <t>Social Science Research</t>
  </si>
  <si>
    <t>List experiment; Migrant students; Prejudice; Social desirability bias; Teacher's assessments</t>
  </si>
  <si>
    <t>Scholarly research has consistently shown that teachers present negative assessments of and attitudes toward migrant students. However, previous studies have not clearly addressed the distinction between implicit and explicit prejudices, or identified their underlying sources. This study identifies the explicit and implicit prejudices held by elementary and middle school teachers regarding the learning abilities of an ethnic minority group: Haitian students within the Chilean educational system. We use a list experiment to assess how social desirability and intergroup attitudes toward minority students influence teachers' prejudices. The findings reveal that teachers harbor implicit prejudices towards Haitian students and are truthful in reporting their attitudes, thereby contradicting the desirability bias hypothesis. We suggest that teachers rely on stereotypes associated with the students' nationality when assessing Haitian students’ learning abilities. The implications of these results are discussed in relation to theories grounded in stereotypes and intergroup attitudes. © 2024 Elsevier Inc.</t>
  </si>
  <si>
    <t>10.1016/j.ssresearch.2024.102990</t>
  </si>
  <si>
    <t>Ayala, Rodrigo Landabur; Mateluna, Diego Ignacio Gallardo; Gonzalez-Gonzalez, Adolfo Andres; Morales, Alfonso Urzua</t>
  </si>
  <si>
    <t>Explaining attitudes toward South-South immigrants: The relevant roles of contact quality, similarity and social dominance orientation in a Chilean case</t>
  </si>
  <si>
    <t>INTERNATIONAL JOURNAL OF INTERCULTURAL RELATIONS</t>
  </si>
  <si>
    <t>Immigrant; Intergroup attitudes; Intergroup threat theory</t>
  </si>
  <si>
    <t>The literature has examined individual predictors of attitudes toward immigrants, controlled by supra-individual variables, especially in European and North American countries. Nevertheless, this analysis has not been made using South-south migration communities. Thus, this study analyzed the individual predictors of the attitudes toward immigrants from Per &amp; uacute; and Venezuela in a Chilean sample, controlling supra-individual variables. We used available data (N total = 956, composed of 599 and 357 for Peruvians and Venezuelans, respectively), considering seven predictors and three types of intergroup attitudes. The main results indicated that contact quality, similarity and social dominance orientation were related to almost all types of attitudes (symbolic threat, realistic threat and liking) toward both immigrant populations, except that similarity and dominance orientation were not associated with realistic threats and liking toward Venezuelans, respectively. The rest of the predictors, contact quantity, generalized trust, political orientation, and right-wing authoritarianism explained three or fewer types of attitudes toward both immigrant communities. We speculated about the reasons why contact quality, similarity and social dominance orientation were associated with more types of attitudes than the rest of the predictors, and the present model's robustness.</t>
  </si>
  <si>
    <t>10.1016/j.ijintrel.2024.101972</t>
  </si>
  <si>
    <t>Ayalon L.</t>
  </si>
  <si>
    <t>Suicidal and Depressive Symptoms in Filipino Home Care Workers in Israel</t>
  </si>
  <si>
    <t>Journal of Cross-Cultural Gerontology</t>
  </si>
  <si>
    <t>Abuse; Ecological model; Mental health; Migration; Racism</t>
  </si>
  <si>
    <t>The study consisted of a cross sectional sample of 178 Filipino home care workers who completed the Paykel Suicide Scale and the Patient Health Questionnaire-9. Respondents also completed questionnaires about exposure to abuse and perceived social support. Overall, 35% of the sample reported exposure to some type of abuse within their home/work environment. For those reporting low levels of satisfaction with care recipient, higher exposure to major lifetime discrimination was associated with higher SIA, whereas for those reporting high levels of satisfaction with care recipient, there was no relationship between exposure to major lifetime discrimination and SIA. Abuse within the home/work environment was the only predictor of depressive symptoms, with greater abuse being associated with higher levels of depressive symptoms. Filipino home care workers in Israel likely are exposed to moderate levels of abuse and discrimination within the home/work environment as well as within society at large. Because live-in home care workers spend the majority of their time within the home/work environment, their relationship with their care recipients have protective qualities that can serve as a buffer against discrimination. Nevertheless, abusive working conditions within their home/work environment have detrimental effects on their mental health. © 2011 Springer Science+Business Media, LLC.</t>
  </si>
  <si>
    <t>10.1007/s10823-011-9156-8</t>
  </si>
  <si>
    <t>Azcoitia, Alfredo; Barelli, Ana Inés</t>
  </si>
  <si>
    <t>Las representaciones de los migrantes chilenos en el discurso de la Iglesia norpatagónica (Argentina) en el marco del conflicto del Beagle (1977-1985)</t>
  </si>
  <si>
    <t>Sociedad y religión</t>
  </si>
  <si>
    <t>Church; Norpatagonia; Beagle; Discourse</t>
  </si>
  <si>
    <t>Abstract At the end of the seventies, the dispute over the delimitation of the Beagle Channel opened a stage in relations between Argentina and Chile marked by a growing tension that was about to lead to a war. In this context, the article proposes to analyze the way in which the Norpatagonian Church intervened in the public arena the discourses that built Chile as an "expansion ist neighbor". We will begin by going through the regional press in order to give an account of the characteristics and circulation of theses speeches in order to deal with the way in which the Argentine Church confront edit. Finally, we will focus on the analysis of the public interventions of the Norpatagonian Church, to identify its uniqueness when antagonizing xenophobic representations, which circulated profusely in there gion with the greatest presence of Chilean migration in the country. Among the main conclusions of the work is that against the war-peace binarism that builds the confrontation between the nationalist territorial discourse and the clerical, the Norpatagónica Church is inscribed in the latter but from its own perspective that introduces the Chilean migrant as the central actor of the drama that lurked</t>
  </si>
  <si>
    <t>54</t>
  </si>
  <si>
    <t>Babidge S.; Belfrage M.</t>
  </si>
  <si>
    <t>Failing forward: A case study in neoliberalism and abandonment in Calama</t>
  </si>
  <si>
    <t>Cultural Dynamics</t>
  </si>
  <si>
    <t>Abandonment; Chile; Critiques of development; Dignity; Neoliberalism</t>
  </si>
  <si>
    <t>Neoliberalism’s failings as a social order are a commonplace in the critical social sciences, and lately such critique has even been ventured from within the World Bank and the International Monetary Fund. How has such a problematic form of capitalism both sustained criticism and flourished? Chilean neoliberalism might tell us something of how neoliberal forms weather critique to sustain elite power and significant social inequality, that is, how neoliberalism ‘fails forward’? We examine a case study in the Chilean mining city of Calama where a series of communal strikes and the authorities’ response demonstrate the resilience of neoliberalism and its significant failures that citizens experience as abandonment. © The Author(s) 2017.</t>
  </si>
  <si>
    <t>10.1177/0921374017743300</t>
  </si>
  <si>
    <t>Backman, Mikaela; Lopez, Esteban; Rowe, Francisco</t>
  </si>
  <si>
    <t>The occupational trajectories and outcomes of forced migrants in Sweden. Entrepreneurship, employment or persistent inactivity?</t>
  </si>
  <si>
    <t>SMALL BUSINESS ECONOMICS</t>
  </si>
  <si>
    <t>Entrepreneurship; Forced migration; Longitudinal occupational trajectories; Sequence analysis; Sweden; Labor market outcomes; Entrepreneurship</t>
  </si>
  <si>
    <t>The current surge in forced migration to Europe is probably the largest and most complex since the Second World War. As population aging accelerates and fertility falls below replacement level, immigration may be seen as a key component of human capital to address labor and skill shortages. Receiving countries are, however, hesitant about the contribution that forced migrants can make to the local economy. Coupled with increasing pressure on welfare services, they are associated with increased job competition and crime. Underutilization of immigrants' skills is, however, a waste of resources that countries can scarcely afford. Understanding the labor market integration process of forced migrants is thus critical to develop policies that unleash their full skills potential and ultimately foster local economic productivity. While prior studies have examined the employment and salary outcomes of these immigrants at a particular point in time post-migration, they have failed to capture the temporal dynamics and complexity of this process. Drawing on administrative data from Sweden, we examine the occupational pathways of forced migrants using sequence analysis from their arrival in 1991 through to 2013. Findings reveal polarized pathways of long-term labor market integration with over one-third of refugees experiencing a successful labor market integration pathway and an equally large share facing a less fruitful employment outcomes. Our findings suggest education provision is key to promote a more successful integration into the local labor market by reducing barriers of cultural proximity and increasing the occurrence of entrepreneurship activity.</t>
  </si>
  <si>
    <t>10.1007/s11187-019-00312-z</t>
  </si>
  <si>
    <t>Badescu, Gruia</t>
  </si>
  <si>
    <t>Homelands and dictators: migration, memory, and belonging between Southeastern Europe and Chile</t>
  </si>
  <si>
    <t>JOURNAL OF CONTEMPORARY EUROPEAN STUDIES</t>
  </si>
  <si>
    <t>Memory; migration; dictatorship; belonging; comparison</t>
  </si>
  <si>
    <t>In the last three decades, a 'memory fever' concerning past dictatorships and political violence emerged both in the Latin American Southern Cone and in Central and Eastern Europe. Both regions witnessed the creation and then consolidation of memory regimes related to remembering military dictatorships and state socialism, respectively. This article interrogates how transnational migration experiences between the two regions challenge nationally framed memory regimes, with a focus on Chile, Romania, and Croatia. By tracing individual migrants and exiles between Romania and Chile, as well as the Croatian Chilean diaspora, this article discusses the entanglements between Chile and Southeastern Europe in the remembrance of the Pinochet and Ceausescu dictatorships, as well as the Tito's Yugoslavia. First, it shows how migrants who experienced dictatorships in both regions operate their own vernacular comparisons between the two experiences. These reframe the tropes existing in dominant memory narratives in each country and create hierarchies of suffering and oppression (i.e. in the case of the Romania-Chile comparison, with a more negative valuation of the Ceausescu dictatorship). Second, by discussing intergenerational memory for those who did not experience dictatorship, as well as diasporic memory formations (e.g. Croat Chileans), it shows that, in these instances, comparisons are more under the influence of dominant national memory frames, but also of memory entrepreneurs who mobilize specific threads. Moreover, the article discusses how these various migrant experiences constitute and reframe senses of belonging, interrogating both the formulations of home and transnationality.</t>
  </si>
  <si>
    <t>10.1080/14782804.2021.2014305</t>
  </si>
  <si>
    <t>Baeza C.</t>
  </si>
  <si>
    <t>Palestinians in Latin America: Between assimilation and long-distance nationalism</t>
  </si>
  <si>
    <t>Journal of Palestine Studies</t>
  </si>
  <si>
    <t>Latin America is host to an estimated half-million people of Palestinian descent, the largest such population outside the Arab world. Migration to the region began in the late 1800s and peaked between 1900 and 1930, with surges around periods of war or economic crisis in Palestine. Predominantly the descendants of a pre-Nakba generation, mostly middle to upper-class Christians who are well-represented among political and business elites, Palestinians in Latin America do not easily fit into a national narrative shaped by the refugee experience. They have therefore held little interest for Palestinian historiography as they did not meet the criteria of "Palestinian-ness" as defined by a nationalist discourse centered on dispossession, denial, and statelessness. With a special focus on Chile, this article presents a historical overview of the Palestinian émigré community in Latin America, shedding light on its diverse and dynamic identity politics. © 2014 by the Institute for Palestine Studies. All rights reserved.</t>
  </si>
  <si>
    <t>10.1525/jps.2014.43.2.59</t>
  </si>
  <si>
    <t>Baeza-Correa J.B.; Bustos-Reyes C.A.; Guzmán-Droguett M.A.; Imbarack-Dagach P.; Mercado-Guerra J.L.</t>
  </si>
  <si>
    <t>The Inclusion of Migrants in the Chilean School System: State of the Art; [Inclusión de migrantes en el sistema escolar chileno: estado del arte]</t>
  </si>
  <si>
    <t>Magis</t>
  </si>
  <si>
    <t>educational systems; Migration; school integration</t>
  </si>
  <si>
    <t>This article discusses the state of the art of the inclusion of migrants in the Chilean school system and analyzes both the unresolved tensions in the educational policies about it and the demands which arise from the attainment of an inclusive education. It is based on a systematic review and analysis of 53 articles published between 2015 and 2020, indexed on the WoS, Scopus or Scielo data bases. It finds that there are challenges for inclusion in the design of policies, the training of teachers in inter-culturality, the relevance of the curriculum and dealing with discriminating and racist behaviors. © 2022 Pontificia Universidad Javeriana. All rights reserved.</t>
  </si>
  <si>
    <t>10.11144/Javeriana.m15.imse</t>
  </si>
  <si>
    <t>Baird I.G.; Manorom K.</t>
  </si>
  <si>
    <t>Migrating fish and mobile knowledge: situated fishers’ knowledge and social networks in the lower Mekong River Basin in Thailand, Laos and Cambodia</t>
  </si>
  <si>
    <t>Mobilities</t>
  </si>
  <si>
    <t>Cambodia; fish migration; Laos; Local Knowledge; Thailand</t>
  </si>
  <si>
    <t>Various terms are used to characterize fishers’ knowledge. Here we use situated fishers’ knowledge to refer to knowledge about long-distance fish migrations held by ethnic Lao fishers living in the Mekong River Basin in northeastern Thailand, southern Laos, and northeastern Cambodia. We consider the mobility of knowledge, humans, and fish, and adopt a theoretical framework based on Actor Network Theory (ANT) and political ecology. Based on fisher interviews, we demonstrate why knowledge transfer related to fish migrations is important. Fishers have various ways of knowing when migratory fish pass certain locations, although those are changing due to borders and technological changes. The paper’s main contribution is to move beyond simply investigating human mobilities, and to instead consider the relationships between human, fish and knowledge mobilities, something that ANT is particularly well suited for, due to its focus on multispecies interactions, something that mobilities scholars would benefit from paying more attention to. © 2019, © 2019 Informa UK Limited, trading as Taylor &amp; Francis Group.</t>
  </si>
  <si>
    <t>10.1080/17450101.2019.1635343</t>
  </si>
  <si>
    <t>Balleste, Isaac Ravetllat</t>
  </si>
  <si>
    <t>Migrant Children and Adolescents in Chile. Critical comments on the Immigration and Foreign Law</t>
  </si>
  <si>
    <t>ANUARIO MEXICANO DE DERECHO INTERNACIONAL</t>
  </si>
  <si>
    <t>Human Rights; socially disadvantaged children; international migration; children's rights; child protection</t>
  </si>
  <si>
    <t>The objective of this study is to question the provisions contained in the Chilean Law on Migration (Law No. 21.325, of April 20, 2021) from a human rights approach to migrant children and adolescents. The aforementioned piece of Law, despite containing as one of its inspiring principles the best interest of the child, however it does not seem to be able to offer clear answers in accordance with the real needs that foreign minors need, very particularly those who are unaccompanied or separated from their family references.</t>
  </si>
  <si>
    <t>Balyk, Lana Gonzalez</t>
  </si>
  <si>
    <t>La Solidaridad o la Soledad? Cooperation and Tensions in the Regional State Response to the Venezuelan Migration Crisis</t>
  </si>
  <si>
    <t>STUDIES IN SOCIAL JUSTICE</t>
  </si>
  <si>
    <t>migration; displacement; asylum seekers; refugees; mixed migration; irregular migration</t>
  </si>
  <si>
    <t>The Venezuelan migration crisis has displaced over six million people and is the Americas' largest forced migration. Nearby countries have received the majority of the displaced and initially showed an impressive welcome to Venezuelans, regardless of whether they may be considered migrants, asylum seekers, or refugees. However, host country responses have mainly been uncoordinated, siloed, and impromptu. This paper examines the solidarities and tensions within the individual country responses of Venezuela's closest Latin American and Andean neighbors: Colombia, Ecuador, Peru, Chile, and Brazil. The number of displaced people leaving Venezuela has steadily increased since 2015 yet limited long term-planning and inclusion of migrants in host communities has led to a growth in xenophobia. Additionally, many Latin American host nations have erected new barriers that make legal entry or residency forms more difficult for migrants to obtain. The COVID-19 pandemic has compounded these issues as host countries grapple with supporting and offering resources to their citizens in addition to migrants. However, some promising regional solutions could be applied in a more coordinated regional approach to help ensure that host countries and IOs supporting them can better extend enduring solidarity and inclusion to Venezuelans. These solutions include longer-term visa options, such as the new Colombian 10-year visa, that can help regularize and include Venezuelans over a prolonged period. A particularly recommended approach would be the regional application of an inventive Latin America humanitarian-orientated accord, the Cartagena Declaration, a forward -thinking concept with a potential that has never been realized. The Cartagena Declaration could offer more comprehensive protection and fairer access to rights beyond temporary measures.</t>
  </si>
  <si>
    <t>Barahona U, Planck; Veres F, Ernesto</t>
  </si>
  <si>
    <t>Macroeconomic Determinants of Peruvian Migration Flows</t>
  </si>
  <si>
    <t>APUNTES-REVISTA DE CIENCIAS SOCIALES</t>
  </si>
  <si>
    <t>migration; human development Index; GDP per capita: relative weight</t>
  </si>
  <si>
    <t>The objective of this paper is to determine the variables associated with the share of Peruvian migration out of total immigration into Chile during 2005-2014. The initial hypothesis is that Peruvian migratory flow has a social and economic component. The results showed that a greater increase in the Human Development Index (HDI) for Chile in comparison with Peru increases migratory flow. On the other hand, a higher education budget for Chile relative to Peru decreases the migratory flow of Peruvian citizens. Against expectations, a one percent increase in per capita GDP in Chile decreases the flow of Peruvian migrants by 0.61 percent.</t>
  </si>
  <si>
    <t>10.21678/apuntes.87.1090</t>
  </si>
  <si>
    <t>Barahona Urbina, Planck; González Quezada, Juan Pablo; Veres Ferrer, Ernesto</t>
  </si>
  <si>
    <t>Inmigración internacional en Chile: El caso de Venezuela</t>
  </si>
  <si>
    <t>Rumbos TS</t>
  </si>
  <si>
    <t>Migratory Flow; Migration Theory; Unemployment; Inflation; Economic Growth</t>
  </si>
  <si>
    <t>Abstract: The research work presented here aims to determine the variables associated with Venezuelan migration in Chile for the period 2010-2020. As a proxy variable of the migratory flow, the Permanent Residence Visas have been used and as explanatory variables of a macroeconomic nature of the issuing country, the inflation rate, the unemployment rate, the GDP per capita in Purchasing Parity Power, the minimum wage in Power Purchasing Parity Index, the Human Development Index and the Rule of Law Governance Index. The proposed economic method is a multiple regression with time series. In a first descriptive analysis, the results showed that the migrant population predominates with medium studies followed by university students with an age group of 25 to 34 years. The result of the econometric model is consistent with the international evidence, that is, everything seems to indicate that an increase in unemployment and inflation in the sending country are two elements that encourage migration.</t>
  </si>
  <si>
    <t>27</t>
  </si>
  <si>
    <t>10.51188/rrts.num27.626</t>
  </si>
  <si>
    <t>Barandiaran J.</t>
  </si>
  <si>
    <t>Reaching for the Stars? Astronomy and Growth in Chile</t>
  </si>
  <si>
    <t>Minerva</t>
  </si>
  <si>
    <t>Astronomy; Big Science; Chile; Development; Periphery</t>
  </si>
  <si>
    <t>While scholars and policy practitioners often advocate for science and technology transfer as a motor for economic growth, many in Latin America have long warned of the pitfalls of such top-down, North-South transfers. To many in Latin America, scientific aid or cooperation from the North has often reproduced hierarchies that perpetuate dependency. Large astronomy observatories located in Chile – with a high price tag, cutting-edge technology, and seen to answer seemingly arcane research questions – seem ripe for reproducing precisely these kinds of hierarchical relationships. Using data from documents, interviews, and a site visit to Gemini South, one of several large telescopes in Chile, this paper takes a historical perspective to examine how resilient these hierarchical relationships are. Over forty years, astronomy in Chile grew thanks to new policies that fostered cooperation among universities and gave locals privileged access to the telescopes. But the community also grew in ways that reproduced dependency: foreign science benefits significantly, the Chilean state operates in top-down ways, and its support for science leaves it blind to the benefits high-tech telescopes deliver to Chile, which are not linked to export-led growth. The state appears as both an obstacle and an enabler to the growth of a national scientific community. © 2015, Springer Science+Business Media Dordrecht.</t>
  </si>
  <si>
    <t>10.1007/s11024-015-9272-7</t>
  </si>
  <si>
    <t>Barberena, Ramiro; Tessone, Augusto; Novellino, Paula; Marsh, Erik J.; Cortegoso, Valeria; Gasco, Alejandra; Guevara, Daniela; Duran, Victor A.</t>
  </si>
  <si>
    <t>SPHERES OF MOBILITY, KINSHIP SYSTEMS, AND ISOTOPES: A COMPARATIVE EXPLORATION FOR NORTHERN MENDOZA (ARGENTINA)</t>
  </si>
  <si>
    <t>Ethnography of mobility; extensive and intensive kinship systems; isotopic archaeology; home ranges; migration; southern Andes</t>
  </si>
  <si>
    <t>Mobility is a key issue in the archaeology of southern South America, providing a lens through which multiple aspects of past social and economic organization can be visualized. Beyond this focus, there are multiple sources of behavioral variation that have little archaeological visibility and are thus seldom considered. However, the global ethnographic record shows that these aspects play a key role which may have also been significative at the archaeological scale. To connect these analytical levels, we explore different dimensions of daily and anomalous-potentially disruptive-human mobility. We develop an ethnography-based model that centers on individual life histories and incorporates aspects of mobility and kinship organization. Building on this, we present a first archaeological evaluation based on strontium isotopes, which allows us to track paleomobility, and stable isotopes, providing insights on paleodiet and niche width. This is applied to two archaeological contexts from northern Mendoza Province (Argentina): Barrancas, located in the eastern lowlands (2000-2300 cal BP) and the Uspallata Valley, between the geological units of the Precordillera and Cordillera Frontal (1200-700 cal years BP). The analysis enables us to evaluate the scale of daily mobility, stability of life histories, existence of different forms of kinship organization, and the incidence of migration.</t>
  </si>
  <si>
    <t>10.4067/S0717-73562022005001201</t>
  </si>
  <si>
    <t>Barbero M.V.</t>
  </si>
  <si>
    <t>Etiquetados: migrant youth, criminalization, and everyday mobility in Buenos Aires</t>
  </si>
  <si>
    <t>Ethnic and Racial Studies</t>
  </si>
  <si>
    <t>Argentina; Buenos Aires; migration; mobility; racialization; Youth</t>
  </si>
  <si>
    <t>Discourses of free movement and “open doors” circulate widely in official Argentine narratives about migration. In fact, some migrant youth cite more lenient Argentine policies as the reason they choose the country over global north contexts. Yet everyday mobility can become a complicated reality for migrant youth of colour who do not fit dominant constructions of Argentine nationhood which have historically centred around whiteness. This article looks at Latin American and African migrant youths’ narratives about their presence and everyday mobility in Buenos Aires. It elucidates the ways in which markers of race, class, and nationality shape youths’ encounters with state and non-state actors alike, often complicating their free movement throughout the city. Further, this article shows how migrant youth come to understand these realities as “normal”, develop strategies to move about the city more freely, and challenge the exclusionary narratives that shape their lived experiences. © 2019, © 2019 Informa UK Limited, trading as Taylor &amp; Francis Group.</t>
  </si>
  <si>
    <t>10.1080/01419870.2019.1649443</t>
  </si>
  <si>
    <t>Barbieri, Nicolás Gissi; Alcaraz, Antonia Olmos</t>
  </si>
  <si>
    <t>Migración, experiencias interculturales y arraigo: venezolanos(as) y colombianos(as) residentes en Santiago de Chile (2017-2022)</t>
  </si>
  <si>
    <t>SOCIEDADE E ESTADO</t>
  </si>
  <si>
    <t>Migration; Inclusion; Roots; Colombians; Venezuelans</t>
  </si>
  <si>
    <t>Abstract The purpose of the article is to understand the processes of incorporation and rootedness of South American migrants in Santiago de Chile, in the context of South-South mobility. The analysis is based on qualitative research conducted between 2017 and 2022, on the Colombian and Venezuelan collectives, according to two issues: i. Settlement; and ii. Evaluation of imaginaries of the future. It is concluded that Colombians have a memory of violence due to the armed conflict and the unfinished peace process in their country, which makes them feel a sense of staying in Chile; and Venezuelans have a feeling of living in a state of transience and nostalgia that generates ambivalence about settling in Chile. Furthermore, in the last three years (in the context of the political crisis and pandemic), Venezuelans have experienced an internal stratification and a dispute of imaginaries in their coexistence with the Chilean population, as well as the consolidation of an ethnic enclave in the commune of Santiago.</t>
  </si>
  <si>
    <t>3</t>
  </si>
  <si>
    <t>10.1590/s0102-6992-202338030004</t>
  </si>
  <si>
    <t>Barbieri, Nicolas Gissi; Alvis, Sebastian Polo; de Andrade, Angelo Florez</t>
  </si>
  <si>
    <t>Odyssey in a sea of land: Venezuelan migration in Brazil, Uruguay and Paraguay</t>
  </si>
  <si>
    <t>REVISTA CIDOB D AFERS INTERNATIONALS</t>
  </si>
  <si>
    <t>Latin America; Venezuelan exodus; Mercosur; borders; migration policies</t>
  </si>
  <si>
    <t>Over 5.4 million people have fled Venezuela in the last decade, with 4.6 million arriving in Latin American and Caribbean countries. Most are refugees seeking to settle in another of the region's countries, including Brazil, Uruguay and Paraguay. This paper focuses on the Venezuelan diaspora towards these countries and analyses whether these borders should be defined os open or closed, along with the forms of institutional incorporation or exclusion these people have experienced. To do this, it takes a case-by-case approach, reviewing legislation and analysing policy for each country. While Brazil, Uruguay and Paraguay are all Mercosur members and signed the common residence agreement, which facilitated the movement of people, Paraguay has not created a special migration category for Venezuelan citizens, and has taken a more restrictive approach.</t>
  </si>
  <si>
    <t>10.24241/rcai.2022.130.1.193</t>
  </si>
  <si>
    <t>Barragan, Macarena; Salazar, Maricela; Catalan, Juan Pablo</t>
  </si>
  <si>
    <t>ACTION PLAN IN EDUCATIONAL MANAGEMENT TO DEVELOP AN INTERCULTURAL APPROACH IN TEACHING PRACTICES</t>
  </si>
  <si>
    <t>REVISTA ON LINE DE POLITICA E GESTAO EDUCACIONAL</t>
  </si>
  <si>
    <t>Migration; Pedagogical management; Interculturality; Teaching practices; Educational need</t>
  </si>
  <si>
    <t>The high enrollment rate of migrant students in the Kingdom of Denmark Lyceum, motivated the realization of a mixed type of research and case study methodology. In the diagnostic phase, a questionnaire was applied to the community of the first basic cycle, to find out how teaching practices are developed around interculturality and its appreciations. After the analysis of the results, the second phase of the investigation begins, implementing an Action Plan in Pedagogical Management to develop an intercultural approach in teaching practices in order to address the educational need presented. Through actions such as; teacher accompaniment, training for all staff addressing axes such as interculturality and methodological proposals for intercultural classrooms. In conclusion, educational leaders are responsible for ensuring access, permanence and educational trajectory of all students for the development of an intercultural approach.</t>
  </si>
  <si>
    <t>e023062</t>
  </si>
  <si>
    <t>10.22633/rpge.v27i00.18667</t>
  </si>
  <si>
    <t>Bartolini F.</t>
  </si>
  <si>
    <t>Intimacy in illegality: Experiences, struggles and negotiations of migrant women</t>
  </si>
  <si>
    <t>Intimacy in Illegality: Experiences, Struggles and Negotiations of Migrant Women</t>
  </si>
  <si>
    <t>Gender; Gender studies; Germany; Illegality; Migration; Refugee studies; Sexuality; Social Inequality; Sociology; Women</t>
  </si>
  <si>
    <t>How do migrant women living in illegality build intimate relationships? How do they experience, resist or take advantage of the tight link between intimacy and migration status created by the German migration legislation? Drawing on rich biographical accounts and ethnographic methods, the book offers an insightful and sensitive look at a mostly unknown aspect of life in illegality. Adopting a critical feminist perspective, Flaminia Bartolini shows how intimacy should be understood in its intrinsic power dimension and looks critically at the German migration regime and on its effects on migrants' lives. © 2021 transcript Verlag, Bielefeld. All rights reserved.</t>
  </si>
  <si>
    <t>10.14361/9783839456026</t>
  </si>
  <si>
    <t>Basaure, Mauro</t>
  </si>
  <si>
    <t>Sanctity, Social Cohesion and Disenchantment: A Conversation with Hans Joas</t>
  </si>
  <si>
    <t>Thesaurus: social cohesion. Author: disenchantment of the world; pragmatism; the sacred; value consensus</t>
  </si>
  <si>
    <t>In light of an analytical review of the different stages of Hans Joas' social theoretical work whose stages range from his early studies of George Herbert Mead and American pragmatism to his most recent publication Die Macht des Heiligen (The Power of the Sacred) (2017)-, as well as the complex internal connections between them, a detailed critical evaluation is made of both the meaning of the Durkheimian notion of the value consensus and the relevance of this consensus to social cohesion in modern societies. In view of all this, urgent issues in current society are discussed -such as migration, the geopolitical order and internal and external security; all of them issues to which Joas has also devoted part of his work. To resume, such theoretical and empirical questions about social cohesion serve here as the guiding thread for an understanding of the power of Hans Joas's social theory, in particular, his sociology of the sacred.</t>
  </si>
  <si>
    <t>10.7440/res66.2018.09</t>
  </si>
  <si>
    <t>Basoalto Riveros C.</t>
  </si>
  <si>
    <t>Problematic aspects of consent in marriages of convenience in Chile; [Aspectos problemáticos en torno al consentimiento en los matrimonios por conveniencia en Chile]</t>
  </si>
  <si>
    <t>Revista Chilena de Derecho y Ciencia Politica</t>
  </si>
  <si>
    <t>Family; Marriage; Migration</t>
  </si>
  <si>
    <t>The phenomenon of marriages celebrated with ends foreign to the institution of matrimony is widely known in civil society. These are marriages, known as ‘marriages of convenience’, ‘sham marriages’, etc., in which there is no genuine intent to enter into the married state. Today, this phenomenon has once more become a topical issue due to the numerous migratory movements that have given the debate a new angle, and the present analysis addresses this perspective. This paper examines some problematic aspects of the topic, starting from the absence of any laws dealing with the phenomenon in Chile, which would logi-cally culminate in legal sanctions against commission of this deed. The author develops some of his reasons in order to consider the non-existence of laws or legal sanctions. © 2020, Catholic University of Temuco Faculty of Law Economics and Administrative Sciences. All rights reserved.</t>
  </si>
  <si>
    <t>10.7770/RCHDYCP-V11N1-ART1700</t>
  </si>
  <si>
    <t>Basualdo L.</t>
  </si>
  <si>
    <t>“And When He Saw the Girl Picture, His Stockings Fell Off”. Humanitarianization of Health Mobilities and Visa for Medical Treatment; [«Y cuando vio la foto de la nena, se le cayeron las medias». Humanitarización de las movilidades por salud y visado por tratamiento médico]</t>
  </si>
  <si>
    <t>Derecho PUCP</t>
  </si>
  <si>
    <t>Argentina; control; health mobilities; Humanitarization; migration; visas</t>
  </si>
  <si>
    <t>This article aims to analyze certain manifestations of «humanitarianism» in the control and regulation of health mobilities in the Argentine context. At an empirical level, it investigates one of the political uses of the health visa, from the figure of «patients under medical treatment» contained in the Migration Law, based on the transcontinental mobility experience of a girl from Sub-Saharan Africa who entered Argentina in the mid-2010s under this migratory category. Through a qualitative methodology that combines participant observations and interviews developed between 2016 and 2019, the article shows the humanitarianization work through which people or groups with greater restrictions on mobility, in the framework of the reconfiguration of the “South American regime of migration and borders”, come to be produced as deserving of humanitarian treatment, as well as the tensions and conflicts experienced during the exercise of humanitarian control of mobility. It argues that, in the process of mobility for health under study, humanitarian control is configured from the articulation between the imposition and access to visa measures, the production of “callers” and certain political uses of humanitarian imagery. © 2023 Pontificia Universidad Catolica del Peru. All rights reserved.</t>
  </si>
  <si>
    <t>10.18800/derechopucp.202302.004</t>
  </si>
  <si>
    <t>"Transplant Tourism" and (In)securitization of Health Mobilities; ["Turismo de trasplantes" e (in)securitización de las movilidades por salud]</t>
  </si>
  <si>
    <t>Estudios Sociologicos</t>
  </si>
  <si>
    <t>(in)securitization; borders; control; health mobilities; migration; transplant tourism</t>
  </si>
  <si>
    <t>This article seeks to analyze the process of in(in)securitization of health mobilities defined as "transplant tourism." It focusses on the emergence and circulation of the "transplant tourism" category, as well as certain political uses of the concept in transplant and migration regulations in Argentina. It argues that "transplant tourism" was constructed as a problem of (in)security associated with the dangers and threats posed by certain types of mobilities to the "national order" of transplants and "international security," because of its association with illicit forms of organ extraction and commercialization. The article uses a qualitative methodology combining the analysis of documentary sources with interviews with government officials in the Argentinean context. © 2024 Colegio de Mexico, A.C., Departamento de Publicaciones. All rights reserved.</t>
  </si>
  <si>
    <t>10.24201/es.2024v42.e2440</t>
  </si>
  <si>
    <t>Becker-Bozo I.; Boccardo G.</t>
  </si>
  <si>
    <t>Flexibilization of the Youth Labor Market in Chile: Trends of the Decade 2010-2019; [Flexibilidad y mercado laboral juvenil en Chile: tendencias de la década 2010-2019]</t>
  </si>
  <si>
    <t>Revista Austral de Ciencias Sociales</t>
  </si>
  <si>
    <t>Chile; Numerical Flexibility; Youth; Youth Labor Insertion; Youth Labor Market</t>
  </si>
  <si>
    <t>The aim of this paper is to describe and analyze the main features and trends of the private-wage Youth Labour Market (YLM) in Chile between 2010-2019. The study uses a quantitative method research design to examine, in the first place, salary trends and socio-demographic and occupational characteristics of the YLM; and second, to analyze the numerical flexibility in terms of contracts, working hours, and outsourcing. The results suggest that the wage process of young people has stopped in the private sector. Furthermore, young workers have higher levels of numerical flexibility, lower wages, and are inserted in unskilled service occupations, despite having higher credentials than adults. The latter could be explained by labour segmentation mechanisms and the role that the youth labour market plays in the neoliberal economic order. © 2022, Universidad Austral de Chile. All rights reserved.</t>
  </si>
  <si>
    <t>10.4206/rev.austral.cienc.soc.2022.n43-11</t>
  </si>
  <si>
    <t>Bedoya C.; Jaime V.; Ickx W.; Perles A.</t>
  </si>
  <si>
    <t>Pavilion for the fair of cultures, Mexico city, Mexico; [Pabellón Para la Feria de las culturas, ciudad de México, México]</t>
  </si>
  <si>
    <t>AUS</t>
  </si>
  <si>
    <t>Fair; Historic quarter; Migration; Pavilion</t>
  </si>
  <si>
    <t>The Mexico City Pavilion for the Fair of Cultures 2014 addresses the issue of immigrants to Mexico City. The architectonic expression of these migrations is represented in the pavilion through a large catwalk that lifts visitors to view the capital's Zócalo, and then descends to create the symbolic experience of arriving to the Historic Quarter. The prefabricated structure was mounted in only 8 days in the Capital's Zócalo and remained there for 15 days.</t>
  </si>
  <si>
    <t>10.4206/aus.2014.n15-10</t>
  </si>
  <si>
    <t>Bellino M.J.; Ortiz-Guerrero M.</t>
  </si>
  <si>
    <t>“The Worst Thing That Could Happen to us but Unfortunately They Have Nowhere to Go”: Colombian students’ Contradictory Views on Venezuelan Migration, Democratic Crisis, and Xenophobia</t>
  </si>
  <si>
    <t>Journal of Immigrant and Refugee Studies</t>
  </si>
  <si>
    <t>Colombia; education/schools; migration; Venezuela; xenophobia</t>
  </si>
  <si>
    <t>In this paper, we explore Colombian secondary students’ views on Venezuelan migration. Despite contradictory feelings on the topic, our findings show the prevalence of (perceived) economic and security threats associated with migrants. Tensions emerged over perceptions that Venezuelan migration has shifted attention from unresolved domestic issues, contributing to nationalist and xenophobic sentiments. Young people also exhibited concerns about xenophobic discourse and showed efforts to resist the harms of mainstream narratives. We suggest that critical openings for curricular inquiry and dialogue in classrooms are needed to engage explicitly with young people’s concerns and to mitigate potential discrimination Venezuelans experience in schools. © 2023 Taylor &amp; Francis Group, LLC.</t>
  </si>
  <si>
    <t>10.1080/15562948.2023.2228243</t>
  </si>
  <si>
    <t>Bello Arellano, Daniel</t>
  </si>
  <si>
    <t>Del rechazo a la aceptación: la nacionalidad como rasgo de diferenciación de los inmigrantes en el discurso de opinión en Chile (2017-2019)</t>
  </si>
  <si>
    <t>Revista pueblos y fronteras digital</t>
  </si>
  <si>
    <t>migration; otherness; nationality; discourse analysis</t>
  </si>
  <si>
    <t>Abstract This paper examines the strategies used to discursively construct an image of immigrants based on certain identity traits linked to their nationality in a collection of 175 editorials and opinion columns published in Chile between 2017 and 2019. This discourse analysis enabled an identification of the main nationalities referred to in this body of work (Haitian, Venezuelan, Peruvian, and Colombian) and to observe how the most frequently mentioned nationalities are characterized in the text and used argumentatively. The analysis revealed a differentiated use of nationality as a sign of more or less «radical» otherness. It also showed a frequent use of a migrant’s nationality in unfavorable arguments regarding migration, and a recurrent link —in the same respect— between the Haitian nationality and problematic or threatening situations.</t>
  </si>
  <si>
    <t>10.22201/cimsur.18704115e.2023.v18.641</t>
  </si>
  <si>
    <t>Bello W.</t>
  </si>
  <si>
    <t>Counterrevolution, the countryside and the middle classes: lessons from five countries</t>
  </si>
  <si>
    <t>Journal of Peasant Studies</t>
  </si>
  <si>
    <t>counterrevolution; matanza masiva; middle class; revolution; socialism</t>
  </si>
  <si>
    <t>This contribution focuses on five societies that experienced successful counterrevolutions. It looks at how the dialectic of revolution and counterrevolution operated in Italy, Indonesia, Chile, Thailand and the Philippines. It seeks to understand the motion of different classes in periods of great political fluidity. It explores the dynamic relationship between conflict in the countryside and the overarching conflict of classes and their political representatives at the national level. Finally, it probes the relationship between domestic counterrevolution and global geopolitics. © 2017 Informa UK Limited, trading as Taylor &amp; Francis Group.</t>
  </si>
  <si>
    <t>10.1080/03066150.2017.1380628</t>
  </si>
  <si>
    <t>Belmar, Marta; Cornejo, Juan; Cornejo, Carolina; Dominguez, Julio; Rioseco, Marcelo; Sanhueza, Susan</t>
  </si>
  <si>
    <t>Diversity in the classroom: gender perspective and migration in the Chilean Educational System</t>
  </si>
  <si>
    <t>ESPACIOS EN BLANCO-SERIE INDAGACIONES</t>
  </si>
  <si>
    <t>curriculum; gender; equity; equality; educational programs</t>
  </si>
  <si>
    <t>A society that aspires to improve the quality of education must focus on all the factors surrounding the school dynamics, being one of these, the gender approach. The article addresses the topic from the guidelines delivered by the Ministry of Education of Chile, making a revision from the legal regulations, curriculum standards and the implemented actions which guide the educational work. The findings indicate that there is disagreement between the official speech and the implementation of the normative in educational establishments, as well as flaws in the selection of contents and its concretion in the classroom are detected.</t>
  </si>
  <si>
    <t>Bender O.; Kanitscheider S.</t>
  </si>
  <si>
    <t>Amenity migration in the Southern Andes and the Southern European alps -a key factor for sustainable regional development?</t>
  </si>
  <si>
    <t>Mitteilungen der Osterreichischen Geographischen Gesellschaft</t>
  </si>
  <si>
    <t>For a long time, peripheral rural mountain regions in many countries were marked by emigration, particularly that of the young and well qualified. In recent decades, we can observe an apparently diametrical process in some regions: 'amenity migration', which implies the migration to remote, rural areas. This 'new immigration' is targeted at areas of natural beauty and favourable climatic conditions, many of them already known as tourist destinations. Several case studies for different mountain regions show a great variety, both of the migrating persons and the chosen destinations. Based on quantitative and qualitative methods, this paper examines four case study areas in different regions of the southern European Alps and the southern Andes and compares the onset and the intensity of the process, the motivation and the characteristics of the migrants and the significance of this phenomenon for regional development in the target regions. It ends by discussing opportunities and risks for the local population.</t>
  </si>
  <si>
    <t>10.1553/moegg155s105</t>
  </si>
  <si>
    <t>Bermúdez G.M.</t>
  </si>
  <si>
    <t>Constitutionality of the International Law of Regional Social Security; [Constitucionalidad del Derecho Internacional de la Seguridad Social regional]</t>
  </si>
  <si>
    <t>Revista de Estudos Constitucionais, Hermeneutica e Teoria do Direito</t>
  </si>
  <si>
    <t>International social security law; migration; neo social onstitutionalism</t>
  </si>
  <si>
    <t>The normative recognition that is given to social security through the Latin American letters contributes to the justiciability of this human right. However, there are not a lot of studies about the impact of this constitutional recognition for the development of regional International Social Security Law (DISS), which is the legal guarantee of the human right to social security for migrants. In this sense, this article presents a brief study of the regional DISS and analyzes the constitutional framework of the human right to social security in some examples from Latin America, highlighting the important role of the Inter-American Court of Human Rights, with the aim of verifying that The theory emanating from the neo-constitutional socialism provides new perspectives to the International Law of regional Social Security. © (2023) All Rights Reserved.</t>
  </si>
  <si>
    <t>10.4013/rechtd.2023.152.04</t>
  </si>
  <si>
    <t>Bernal, Benilda Layne; Isaza, Arcadio Jesus Cardona; Massi, Pedro Angel Alvarez</t>
  </si>
  <si>
    <t>Virtual social networks and coping in migrants from Colombia, Panama, and Chile: differences and commonalities</t>
  </si>
  <si>
    <t>UNIVERSITAS PSYCHOLOGICA</t>
  </si>
  <si>
    <t>Migration; coping; virtual social networks; mental health; adaptation</t>
  </si>
  <si>
    <t>Virtual social networks are an important medium in the interpersonal relationships of migrants in the country of origin , destination. The objective of this study was to analyze the relationships and differences in the use of virtual social networks and coping strategies in migrants from different countries living in Colombia, Chile , Panama. This study was cross-sectional correlational, and comparative. A total of 125 migrants participated (M = 30.63, SD = 9.79); 55.2% were women. Coping strategies and the use of social networks were evaluated. Descriptive and correlational analyses were performed. Variables were also compared by country. The results indicate a relationship between virtual social networks , coping strategies and differences in coping strategies among migrants in each country, mainly in positive reappraisal, search for social support , avoidance. It is concluded that virtual social networks are a medium that can contribute to communication, adaptation, and social support. However, it is observed that virtual social networks can also be used for discrimination and xenophobia</t>
  </si>
  <si>
    <t>10.11144/Javeriana.upsy20.rsve</t>
  </si>
  <si>
    <t>Bernal, Diana Duarte</t>
  </si>
  <si>
    <t>Migrant Bodies: Cultural Resistances and Entangled Inequalities</t>
  </si>
  <si>
    <t>TERRITORIOS</t>
  </si>
  <si>
    <t>Performativity; migration; vulnerability; intersectionality; cultural expressions; public spaces</t>
  </si>
  <si>
    <t>This essay arises as part of a process of conceptual and empirical exploration around the dis-pute and transformation of public space, both in its material and symbolic expression, through cultural practices. I have focused on those expressions that have a performative character, in consideration of the capacity of bodies to break into everyday life, produce space and generate collective presences, while constituting processes of enunciation from the differences. This is especially significant for those who have restricted access to the constitution of the public, given certain power relations that define who and what counts for a community. Based on this observation, I analyze the case of Mery Cortez Ortiz, mother of a young Ecuadorian murdered by the Army in the framework of the so-called Chilean Social Outbreak, using bibliographic and press review.</t>
  </si>
  <si>
    <t>10.12804/revistas.urosario.edu.co/territorios/a.11101</t>
  </si>
  <si>
    <t>Urban Studies</t>
  </si>
  <si>
    <t>Bernales M.; Repetto P.; McIntyre A.; Vasquez A.; Drury J.; Sullivan G.B.; Castañeda J.</t>
  </si>
  <si>
    <t>Experiences and perceptions of natural hazards among international migrants living in Valparaiso, Chile</t>
  </si>
  <si>
    <t>International Journal of Disaster Risk Reduction</t>
  </si>
  <si>
    <t>Chile; Migrants; Natural hazards</t>
  </si>
  <si>
    <t>International migrants are a socially vulnerable group within the context of disasters. However, disasters research focusing on this group is limited. This problem is the primary focus of the present study. Aim: To explore responses, behaviors and experiences concerning natural hazards among migrants living in Valparaíso, Chile. Methods: Following a constructivist paradigm, we conducted a case study. We interviewed twenty migrants. The interviews were analyzed using thematic analysis. The study was peer-reviewed by Universidad del Desarrollo Ethics Committee. Results: Participants described intense emotional reactions when facing disasters that reduced their coping ability. Their limited knowledge about natural hazards and how to react, explains in part their responses and the difficulties they face. Participants compared their reactions with the behaviors exhibited by the local Chilean population who displayed very little fear and seemed to be used to these events. Finally, despite sharing the same native language, Spanish, preparation activities and warnings appear not to be reaching them. Conclusions: There is an urgent need to implement culturally sensitive preparation strategies, through migrants' existing social networks, to address their needs and concerns and to enable them to cope with natural hazards. Emotional reactions appear to play an essential role in their response to natural disasters and should also be recognized and validated. © 2018 Elsevier Ltd</t>
  </si>
  <si>
    <t>10.1016/j.ijdrr.2018.11.010</t>
  </si>
  <si>
    <t>Bernales, Margarita; Cabieses, Báltica; McIntyre, Ana María; Chepo, Macarena</t>
  </si>
  <si>
    <t>Desafíos en la atención sanitaria de migrantes internacionales en Chile</t>
  </si>
  <si>
    <t>Revista Peruana de Medicina Experimental y Salud Publica</t>
  </si>
  <si>
    <t>Human Migration; Chile; Primary Health Care; Health Personnel</t>
  </si>
  <si>
    <t>Objectives. To investigate the perceptions of primary health workers (PHW) about the challenges of health care for migrants. Materials and methods. A qualitative multicase study was conducted in eight communes of Chile, using the snowball technique, where 101 PHW and local authorities were recruited. Semi-structured interviews and focal groups were conducted, achieving information saturation. Results. The findings were grouped into two major thematic axes: 1. Technical and administrative difficulties, and 2. Perception of cultural barriers. According to the PHW, although regulations have been established and health care strategies have been generated for the migrant population, these are mostly not stable or known to all PHW. They are also not easy to implement in the various realities investigated. The absence of records on the number of migrants accessing the health system makes it difficult to design specific interventions. Additionally, health care has complications, and the PHW do not necessarily have tools that allow them to provide a care that is culturally sensitive to the needs of the migrant community. Conclusions. The findings put into question the new challenges in health that Chile is facing in the face of the growing migrant population. The needs perceived by PHW are: stability and clarity in the regulations in force in relation to access and provision of services, training in regulations and the concrete way in which they should operate, and sensitization in cultural competence.</t>
  </si>
  <si>
    <t>10.17843/rpmesp.2017.342.2510</t>
  </si>
  <si>
    <t>Berrios-Riquelme J.; Rivera C.P.; Figueroa C.V.</t>
  </si>
  <si>
    <t>Or asylum against oppression: the case of Chilean exiles who settled in the city of Malmö (Sweden); [O EL ASILO CONTRA LA OPRESIÓN: EL CASO DE LOS EXILIADOS CHILENOS QUE SE ASENTARON EN LA CIUDAD DE MALMÖ (SUECIA)]</t>
  </si>
  <si>
    <t>Revista Interdisciplinar da Mobilidade Humana</t>
  </si>
  <si>
    <t>Chile; exile; political immigrants; refugees; Sweden</t>
  </si>
  <si>
    <t>The military dictatorship lived in Chile between 1973 and 1990 punitively chased its detractors, reason why thousands of people had to abandon the country to protect their integrity. Between the different destinations selected by the diáspora, Sweden was a hospitable society because of the social and political prevailing context. The following article describes how a group of Chilean refugees lived their exile at the city of Malmö. The main finding is that the identity of these people had a collective reconstruction as political immigrants after the military dictatorship had come to an end. At the discussion, existing literature about Chilean exiled in Europe is regarded and suggestions are made for future research. © 2019, Scalabriniano Center for Migratory Studies. All rights reserved.</t>
  </si>
  <si>
    <t>10.1590/1980-85852503880005508</t>
  </si>
  <si>
    <t>Berrios-Riquelme J.; Ventura-León J.; Maluenda-Albornoz J.; Barboza-Palomino M.</t>
  </si>
  <si>
    <t>Psychometric properties of the group threat scale internalized by Latin American immigrants in Chile; [Propiedades psicométricas de la escala de amenaza grupal internalizada por inmigrantes latinoamericanos en Chile*]</t>
  </si>
  <si>
    <t>Revista de Ciencias Sociales</t>
  </si>
  <si>
    <t>Chile; Chile; inmigrantes latinoamericanos; Latin American immigrants; perceived prejudice; prejuicio percibido; Propiedades psicométricas; Psychometric properties; teoría de la amenaza; threat theory</t>
  </si>
  <si>
    <t>The Internalized Group Threat Scale is an instrument that measures the prejudice perceived by Latin American immigrants from the threat theory. The objective of the research was to evaluate the psychometric properties of this scale in Latin American immigrants living in Chile. Through a non-experimental methodology, which had a non-probabilistic sample, two cross-sectional studies were carried out, in which a total of 722 immigrants participated. The findings of the first study, based on an exploratory factor analysis, show a unifactorial structure of the Internalized Group Threat Scale and an omega coefficient of. 87. On the other hand, the results of the second study, based on a confirmatory factor analysis, corroborate the factorial structure of the scale for a 7-item model with adequate fit indices and factor loads greater than. 50. Likewise, statistically significant, inverse and moderate correlations were found with the Self-Esteem Scale and the Multigroup Ethnic Identity Scale. Finally, an omega coefficient of. 89 was found. It is concluded that the Internalized Group Threat Scale has adequate psychometric properties for its use with Latin American immigrants residing in Chile. © 2021. All Rights Reserved.</t>
  </si>
  <si>
    <t>Berríos-Riquelme, José</t>
  </si>
  <si>
    <t>Labor market insertion of professional Venezuelan immigrants in northern Chile: precariousness and discrimination in the light of migration policy</t>
  </si>
  <si>
    <t>REMHU: Revista Interdisciplinar da Mobilidade Humana</t>
  </si>
  <si>
    <t>highly skilled immigrants; south-south migration; public policies; migration law</t>
  </si>
  <si>
    <t>Abstract This article describes the labor market insertion experiences of a group of professional Venezuelan immigrants in northern Chile. Using a qualitative methodology, fourteen people who met the inclusion criteria were interviewed. The participants' discourses show that their experiences have been stressful because they have not been able to revalidate their degrees, have to take on jobs for which they are overqualified, and suffer exploitation and discrimination. The stories are analyzed based on previous studies and related theory, finding that the main factor affecting this reality is the current Chilean immigration legislation, which has an orientation based on control and national security. It is concluded that the current immigration legislation facilitates immigrants' labor precariousness and contributes to their situation of vulnerability.</t>
  </si>
  <si>
    <t>62</t>
  </si>
  <si>
    <t>10.1590/1980-85852503880006208</t>
  </si>
  <si>
    <t>Berrios-Riquelme, Jose; Galdames, Rodrigo; Dufraix, Iciar; Bolivar, Daniela</t>
  </si>
  <si>
    <t>Perceived discrimination by South American immigrants in the Tarapaca region of Chile: differences according to socio-demographic variables</t>
  </si>
  <si>
    <t>migration policy; inter-group relations; South American immigration; South-South migration; threats</t>
  </si>
  <si>
    <t>This study evaluated the discrimination perceived by South American immigrants located in the Tarapaca region of Northern Chile, according to their socio-demographic variables. A cross-sectional design was employed in which a questionnaire was administered to 374 South American immigrants of legal age, and who had been living in Chile for more than one (1) year. Descriptive analyses along with an analysis of variance were carried out to identify possible statistically significant differences between groups. The main results indicate that the socio-demographic conditions associated with greater discrimination were: being a Venezuelan national; being a woman; living alone; and relating mainly with immigrants of a third nationality. The implications of the results are discussed and suggestions are made for future research considering the migrant population residing in this region.</t>
  </si>
  <si>
    <t>Berrios-Riquelme, Jose; Maluenda-Albornoz, Jorge; Castillo-Rozas, Gustavo</t>
  </si>
  <si>
    <t>Perceived discrimination and mental health of South American immigrants in Chile: the mediator role of the self-esteem in tour nationalities</t>
  </si>
  <si>
    <t>SOCIAL WORK IN MENTAL HEALTH</t>
  </si>
  <si>
    <t>Mediation analysis; mental health; perceived discrimination; south-south migration</t>
  </si>
  <si>
    <t>Most international immigrants have mental health problems because of perceived discrimination. This research aims to analyze the possible mediating role of self-esteem in the impact of perceived discrimination on the mental health problems of the four most extensive South American immigrant nationalities in Chile. It involved 772 immigrants who have been living in this country for longer than a year. The results indicate that self-esteem would play a mediating role in two nationalities. We conclude by considering the importance and implications of self-esteem as a variable for intervention from social work in the immigration field.</t>
  </si>
  <si>
    <t>10.1080/15332985.2021.2007438</t>
  </si>
  <si>
    <t>Berthelon M.; Kruger D.; Oyarzún M.</t>
  </si>
  <si>
    <t>School schedules and mothers’ employment: evidence from an education reform</t>
  </si>
  <si>
    <t>Review of Economics of the Household</t>
  </si>
  <si>
    <t>Chile; Education reform; Female employment and labor force participation; Full day schooling; Latin America; School schedules</t>
  </si>
  <si>
    <t>Women’s employment plays an important role in household well-being, and among mothers, lack of child care is one of the main reasons for not working and not seeking employment. We investigate the effect of a reform that lengthened school schedules from half to full days in Chile—providing childcare for school aged children—on different maternal employment outcomes. Using a panel of 2814 mothers over a 7-year period, we find evidence of important positive causal effects of access to full-day schools on mother’s labor force participation, employment, weekly hours worked, and months worked during the year. We also find that lower-education and married mothers benefit most from the policy. Findings suggest that alleviating childcare needs can promote women’s attachment to the labor force, increase household incomes and alleviate poverty and inequality. © 2022, The Author(s), under exclusive licence to Springer Science+Business Media, LLC, part of Springer Nature.</t>
  </si>
  <si>
    <t>10.1007/s11150-022-09599-6</t>
  </si>
  <si>
    <t>Bezerra Ferreira J.G.</t>
  </si>
  <si>
    <t>METAPHORICAL CONCEPTUALIZATION OF THE IMMIGRANT IN CHILE DURING THE COVID-19 PANDEMIC; [CONCEPTUALIZACIÓN METAFÓRICA DEL INMIGRANTE EN CHILE DURANTE LA PANDEMIA DEL COVID-19]</t>
  </si>
  <si>
    <t>Nueva Revista del Pacifico</t>
  </si>
  <si>
    <t>Chile; cognitive linguistics; conceptual metaphor; Covid-19; immigrant</t>
  </si>
  <si>
    <t>The present study is focused in understanding the opinions expressed by Chileans about being immigrant in Chile in the context of the covid-19 pandemic. To this purpose, there were analyzed 481 comments posted by readers on news dealing with the relationship between immigration and covid-19, from March 22 to June 8, 2020, published on the Facebook page of the Chilean newspaper La Tercera. Anchored in the theoretical assumptions of Cognitive Linguistics and, specifically, the theory of conceptual metaphor and Critical Discourse Analysis, the metaphors contained in the corpus were analyzed by using the target domain method to identify the metaphor. The analysis revealed contempt for the immigrant through xenophobic statements, made metaphorically, predominating, above all, those of a negative nature, based on cultural and moral models. © 2023 Universidad de Playa Ancha de Ciencias de la Educacion. All rights reserved.</t>
  </si>
  <si>
    <t>Bianculli A.C.; Triviño-Salazar J.C.</t>
  </si>
  <si>
    <t>Venezuelan migration in South America: coordinating regional responses to a transboundary reception crisis</t>
  </si>
  <si>
    <t>Journal of Ethnic and Migration Studies</t>
  </si>
  <si>
    <t>MERCOSUR; Migration; Quito Process; South American Conference of Migration; transboundary crisis</t>
  </si>
  <si>
    <t>Migration is a policy field that is prone to transboundary reception crises due to the weakness of inter-state cooperation and global governance institutions’ incomplete architecture. Research suggests that the regional level is a more realistic policy arena where cooperation to coordinate responses may emerge. Our paper aims to explore and analyse the conditions under which coordinated responses to transboundary reception crises are present in (or absent from) regional migration governance. Below we develop an analytical model based on crisis management scholarship to examine coordination capacities at the regional level. Empirically, we comparatively assess the ability of old regional institutions (i.e. MERCOSUR, the South American Conference of Migration) and new ones (i.e. the Quito Process) to orchestrate responses to receive Venezuelan migrants across the region. Our findings reveal that coordination capacities remain scarce as regional institutions navigate from non-crisis to crisis times. This is largely because there was a shift in policy framing regarding immigrant reception, to self-interested national, regional and extra-regional actors promoting new regional mechanisms, and to the increasing complexity of regional migration governance as (new) competing actors emerge. Our conceptual and empirical contributions provide insights into how governance processes in South America have changed, particularly during crises. © 2024 Informa UK Limited, trading as Taylor &amp; Francis Group.</t>
  </si>
  <si>
    <t>10.1080/1369183X.2024.2350599</t>
  </si>
  <si>
    <t>Bijit Abde, Karina</t>
  </si>
  <si>
    <t>EL PROCESO DE INTEGRACIÓN SOCIAL DE LOS REFUGIADOS PALESTINOS REASENTADOS EN REGIÓN DE VALPARAÍSO, CHILE</t>
  </si>
  <si>
    <t>Palestinian refugees; labor integration; sociocultural integration</t>
  </si>
  <si>
    <t>The refugee experience is marked by forced migration due to political persecution and generalized violence, among other factors. As a result, refugees do not always have a migration plan or social networks in the host country, conditions that affect their social integration. The following article describes and analyzes the labor and socio-cultural integration of Palestinian refugees resettled in La Calera and San Felipe, in the Valparaiso Region of Chile. Some of the salient details examined in the study are the language, culture and religious differences that characterize this group of refugee families with respect to the host country.</t>
  </si>
  <si>
    <t>Binford W.; Bochenek M.G.; Cernadas P.C.; Day E.; Field S.; Hamilton M.; Liefaard T.; Mezmur B.; Mulatu F.; Skelton A.; Sloth-Nielsen J.; Stuart J.; Van Loon H.; Verhellen J.</t>
  </si>
  <si>
    <t>Report on Enforcing the Rights of Children in Migration</t>
  </si>
  <si>
    <t>Laws</t>
  </si>
  <si>
    <t>children’s rights; international law; migration</t>
  </si>
  <si>
    <t>The ILA Study Group began its work by identifying guiding principles that should frame and inform state practices with respect to children in migration. These principles included, but were not limited to, non-discrimination; the best interests of the child; the right to life, survival, and development; the right of the child to express their views on all matters affecting them; and the right to an effective remedy. The Study Group identified some of the most common rights violations for children in migration such as arbitrary age assessment practices; inadequate and age-inappropriate reception policies and facilities; and immigration detention of children and other coercive practices. The Study Group undertook a multidisciplinary approach by summarizing the research documenting the harmful effects of these practices on child health and well-being. It surveyed (1) treaties and international instruments that might recognize a right or remedy for children on the move; (2) regional and international fora where the claims of children could be heard; and (3) the growing body of regional and international jurisprudence upholding the rights of children in migration. Finally, it identified gaps in the international and regional frameworks and formulated recommendations as to how to ensure children in migration are able to enforce their rights and access justice. © 2023 by the authors.</t>
  </si>
  <si>
    <t>10.3390/laws12050085</t>
  </si>
  <si>
    <t>Birgier, Debora Pricila; Lundh, Christer; Haberfeld, Yitchak; Ellder, Erik</t>
  </si>
  <si>
    <t>Self-Selection and Host Country Context in the Economic Assimilation of Political Refugees in the United States, Sweden, and Israel</t>
  </si>
  <si>
    <t>INTERNATIONAL MIGRATION REVIEW</t>
  </si>
  <si>
    <t>We study the interplay between host countries' characteristics and self-selection patterns in relation to refugees' economic assimilation using a natural experiment in which immigrants from one region migrated to three destinations under similar circumstances. We focus on emigrants fleeing from Argentina and Chile during the military regimes there to the United States, Sweden, and Israel. We find that those refugees show patterns of selection and assimilation similar to those of economic immigrants. Immigrants to the United States and Israel exhibit better selection patterns and consequently faster assimilation than immigrants to Sweden even considering the positive effect of the Swedish market structure.</t>
  </si>
  <si>
    <t>10.1111/imre.12309</t>
  </si>
  <si>
    <t>Blynova, Olena; Derevianko, Serhii; Ivanova, Oksana; Popovych, Ihor; Sepulveda, Juan Guillermo Estay</t>
  </si>
  <si>
    <t>PROFESSIONAL RELEVANCE OF POTENTIAL LABOR EMIGRANTS</t>
  </si>
  <si>
    <t>REVISTA NOTAS HISTORICAS Y GEOGRAFICAS</t>
  </si>
  <si>
    <t>Social geography; Migratory behavior; Migration policy; Professional identity</t>
  </si>
  <si>
    <t>The purpose is to examine professional relevance in the formation of migration policy in the dimensions of social geography and social-psychological determinants of emigrants' behavior. We conducted empirical research involving people who applied for consultation to official institutions, agencies and economic entities dealing with search for job vacancies and employment of Ukrainian citizens abroad.</t>
  </si>
  <si>
    <t>Bojorquez-Chapela I.; Rojas-Botero M.L.; Marín D.P.; Riveros M.A.; Roa A.Y.; Fernández-Niño J.A.</t>
  </si>
  <si>
    <t>Incorporating migrants into National COVID-19 Vaccination Plans in Latin America: A comparative analysis of policies in seven countries</t>
  </si>
  <si>
    <t>Journal of Migration and Health</t>
  </si>
  <si>
    <t>COVID-19; COVID-19 vaccines; Health services accessibility; Latin America; Transients and migrants</t>
  </si>
  <si>
    <t>Vaccination against COVID-19 is an essential public health tool for pandemic control. Inclusion of migrants in COVID-19 vaccination is not only ethically necessary from a right-to-health perspective but also technically indispensable for disease control. This study aimed to characterize the inclusion of international migrants, refugees, and asylum seekers in COVID-19 vaccination policies in Latin American countries that have the greatest recent increase in the reception of migrants. We conducted a content analysis of public policy documents issued between March 11, 2020, and June 30, 2022 by the Ministries of Health of seven countries: Brazil, Chile, Colombia, Costa Rica, Ecuador, Mexico and Peru. Documents were located through Ministries of Health web pages, references in scientific literature, and the Pan American Health Organization's Information Platform on Health and Migration in the Americas. A content analysis was performed of the documents that were located, along six dimensions: migrants' right to vaccination, temporality of vaccination, administrative discretion, policies to facilitate access, language or cultural considerations, and normative, ethical or technical justifications provided. Eighty-six public policy documents were reviewed. Their contents showed that none of the countries explicitly excluded migrants from vaccination, nor did they explicitly define restrictions on this population. One barrier that was detected was to require identity documents in order to be vaccinated or to receive a vaccination certificate, which could be difficult for migrants to obtain. Few countries defined actions to facilitate or promote the vaccination of migrants. The documents that mentioned justifications for vaccinating migrants presented reasons that were mainly based on the recognition of the right to health, the principle of non-discrimination and equity. The countries studied generally had inclusive policies but were limited in terms of dealing with potential barriers to access. The lack of mechanisms to guarantee the right to health is a limitation that countries in the region should address. © 2023 The Author(s)</t>
  </si>
  <si>
    <t>10.1016/j.jmh.2023.100207</t>
  </si>
  <si>
    <t>Bolaños-Guerra B.; Calderón-Contreras R.</t>
  </si>
  <si>
    <t>Challenges of resilience to reducing environmentally induced migration from central america; [Desafios de resiliência para diminuir a migração induzida por causas ambientais da américa central]; [Desafíos de resiliencia para disminuir la migración inducida por causas ambientales desde centroamérica]</t>
  </si>
  <si>
    <t>Revista de Estudios Sociales</t>
  </si>
  <si>
    <t>Central America; Central American Dry Corridor; Global environmental change; Migration</t>
  </si>
  <si>
    <t>Resilience is already one of the most important analytical approaches to the study of socio-ecological problems. Forced migration for environmental reasons is one of the main consequences of global environmental change. Socio-ecological resilience identifies factors that would diminish the effects of environmental migration, especially concerning the governance of such issues. We will draw attention to the fact that recent waves of migration have made Central America a hotspot for environmentally induced displacement. In response, international aid geared towards climate change adaptation could reduce the displacement of the inhabitants of the Central American Dry Corridor. However, favored practices, such as Hass avocado cultivation, are controversial in terms of environmental sustainability. © 2021, Universidad de los Andes, Bogota Colombia. All rights reserved.</t>
  </si>
  <si>
    <t>10.7440/res76.2021.02</t>
  </si>
  <si>
    <t>Bonal X.; Zancajo A.; Scandurra R.</t>
  </si>
  <si>
    <t>Residential segregation and school segregation of foreign students in Barcelona</t>
  </si>
  <si>
    <t>Barcelona; diversity/cohesion/segregation; education; inequality; migration; neighbourhood</t>
  </si>
  <si>
    <t>This article examines the dynamics of the relationship between residential and school segregation in Barcelona. The analysis explores which educational and non-educational drivers foster the school segregation of foreign students between the city’s neighbourhoods. The article also analyses to what extent the particularities of Barcelona’s admissions policy, which combines catchment areas with high levels of school choice, generate specific mechanisms of contextually bound school segregation within the local education market. The results confirm that residential segregation and educational segregation are two interrelated phenomena in Barcelona. In addition, the supply of publicly subsidised private schooling in the neighbourhoods is a main factor driving both educational segregation and isolation, especially in those neighbourhoods with a high concentration of foreign pupils. Based on the results, the article elaborates on the challenges for local education policymaking to address the dynamics of school segregation in urban spaces. © Urban Studies Journal Limited 2019.</t>
  </si>
  <si>
    <t>10.1177/0042098019863662</t>
  </si>
  <si>
    <t>Bonhomme, Macarena</t>
  </si>
  <si>
    <t>Racism in multicultural neighbourhoods in Chile: Housing precarity and coexistence in a migratory context</t>
  </si>
  <si>
    <t>BITACORA URBANO TERRITORIAL</t>
  </si>
  <si>
    <t>migration; racism; housing; social conflict; cultural interaction</t>
  </si>
  <si>
    <t>Chile is one of the countries with major destination flows from Latin America and the Caribbean. The aim of this article is to explore social coexistence in residential neighbourhoods in the context of South-South migration, in order to examine the multiple factors at play behind the emerging social conflict between migrants and Chileans. The growing arrival of migrants to Santiago has reinforced racism and the racialization of the urban space through social interactions and practices that take place in residential neighbourhoods. Drawing on a larger research project that consisted in a 17-month ethnography between 2015 and 2018 in one of the most multicultural neighbourhoods of Santiago, this article contributes to unravel racism and the emerging processes of racialization, considering the role that the politics of housing and the housing market play in the intercultural coexistence and the emergent conflict. I argue that the precarious housing conditions in which migrants are forced to live have an impact on the reproduction of racism and the construction of racial hierarchies of belonging that challenge migrants' right to the city, especially Afro-descendants, deepening their exclusion.</t>
  </si>
  <si>
    <t>10.15446/bitacora.v31n1.88180</t>
  </si>
  <si>
    <t>'We're a bit browner but we still belong to the white race': making whiteness in the context of South-South migration in Chile</t>
  </si>
  <si>
    <t>LATIN AMERICAN AND CARIBBEAN ETHNIC STUDIES</t>
  </si>
  <si>
    <t>Ethnicity; Chile; migration; nationalism; racism; whiteness; etnicidad; Chile; migracion; nacionalismo; racismo; blanquitud</t>
  </si>
  <si>
    <t>In the context of rising South-South migration to Chile, this article examines how Chileans redefine and claim whiteness in a multicultural working-class neighborhood in Santiago. It contributes to regional racial studies by analyzing how whiteness is constructed in multicultural neighborhoods where different national and racialized identities that share a colonial past converge, and where the nation-state has historically pursued a progressive whitening through the adoption of racist state policies. Drawing on ethnographic fieldwork, I show how Chileans construct a white racial identity vis-a-vis the presence of, and through ordinary interactions with, Latin American and Caribbean migrants. As is the case elsewhere, in contemporary Chile whiteness is an ongoing everyday social construct that is not only conveyed as a discourse, but also through the practice or performance of power in the social textures of urban life. Making and enacting whiteness becomes a way in which racial hierarchies of belonging are materialized to achieve a higher status in an unequal racialized society. This study reveals how Chileans claim to be 'white(r)' than the South-South migrants they interact with, reproducing a Chilean hegemonic discourse about national identity, through the many practices of everyday life. The article's main argument is that making whiteness through these ordinary occurrences reproduces anti-indigenous and anti-black racism.</t>
  </si>
  <si>
    <t>10.1080/17442222.2022.2099170</t>
  </si>
  <si>
    <t>Cultura material y migrantes peruanos en Chile: un proceso de integración desde el hogar</t>
  </si>
  <si>
    <t>material culture; home; peruvian migration; integration; identity</t>
  </si>
  <si>
    <t>This article attempts to analyze in depth the ways in which Peruvian migrants inhabit their private space from a material culture approach, through the analysis of both home possessions and food. The material culture of the home embodies both their experiences and migrant trajectory, and the process of integration into the host society, representing the continuum process of adjustment that they face in cultural, social and material terms. The results show that the ways in which migrants inhabit their homes are related to their processes of settling down, since through the material culture, the belonging to their two worlds, the one they came from and the one they settled into, is daily negotiated, generating the ambivalence of being here and there simultaneously. Their homes become transnational, where emerges a cultural syncretism between two worlds that coexist: Peru is symbolized by photography and food, both of which allow the reproduction of their belonging and cultural identity, and Chile is represented by technological artifacts, which embody their sacrificing labour and courage, and allow them to feel part of the host society.</t>
  </si>
  <si>
    <t>Bonhomme, Macarena; Alfaro, Amaranta</t>
  </si>
  <si>
    <t>'The filthy people': 1 Racism in digital spaces during Covid-19 in the context of South-South migration</t>
  </si>
  <si>
    <t>INTERNATIONAL JOURNAL OF CULTURAL STUDIES</t>
  </si>
  <si>
    <t>anti-black racism; Chile; Covid-19; cultural representations; digital spaces; Haitian migration; hate-speech; migration; race and ethnicity; racism</t>
  </si>
  <si>
    <t>Notions of 'race' and disease are deeply imbricated across the globe. This article explores the historical, complex entanglements between 'race', disease, and dirtiness in the multicultural Chilean context of Covid-19. We conducted a quantitative content analysis and a discourse analysis of online readers' comments (n = 1233) in a digital news platform surrounding a controversial news event to examine Chileans' cultural representations of Haitian migrants and explore online racism and anti-immigrant discourse. Drawing on a decolonial approach, we argue that Covid-19 as a crisis has been fabricated at the expense of a constructed 'other'. We show how colonial racist logics not only endure in digital spaces, but are made viral in new ways by representing Haitian migrants as 'filthy' and 'disease carriers'. We identified two contemporary forms of racism - online cultural racism and online aggressive racism - through which people construct imaginaries of racial superiority in digital spaces.</t>
  </si>
  <si>
    <t>3-4</t>
  </si>
  <si>
    <t>10.1177/13678779221092462</t>
  </si>
  <si>
    <t>Bonhomme, Macarena; Muldoon, James</t>
  </si>
  <si>
    <t>Racism and food delivery platforms: shaping migrants' work experiences and future expectations in the United Kingdom and Chile</t>
  </si>
  <si>
    <t>ETHNIC AND RACIAL STUDIES</t>
  </si>
  <si>
    <t>Gig economy; migration; discrimination; racism; digital work; food delivery</t>
  </si>
  <si>
    <t>Recent studies have demonstrated that platform work is predominately undertaken by migrant workers. Drawing on a qualitative study of platform-based food delivery work in Chile and the United Kingdom, we examine how migrant workers' experiences of race and ethnicity shape their working conditions and future job prospects in the platform economy. In both countries, migrants perceived platform work to be a way of avoiding forms of racism in the formal economy. However, while in the United Kingdom this type of work lived up to migrants' expectations of providing an environment with fewer overt forms of racism, in Chile, workers experienced high levels of everyday racism when performing platform work. We argue that processes of racialisation have a direct impact on the labour conditions of workers in the gig economy, and that race and migration background play a key role in migrants' labour trajectories.</t>
  </si>
  <si>
    <t>10.1080/01419870.2024.2349268</t>
  </si>
  <si>
    <t>Borgeaud-Garciandia N.</t>
  </si>
  <si>
    <t>Le care à demeure. Le travail des cuidadoras migrantes à Buenos Aires</t>
  </si>
  <si>
    <t>Travailler</t>
  </si>
  <si>
    <t>Affection; Care; Confinement; Migration; Privacy; Sleep in care work</t>
  </si>
  <si>
    <t>The purpose of this article is to analyze the elderly home caregivers work, in the context of Peruvian workers who migrated to Buenos Aires and work in the live in basis. It is a situation strongly marked by interpersonal relationships and a particularly intense subjective commitment. The first part addresses the overall presentation of the situation of these workers who became elderly caregivers in Buenos Aires. In the second part, the analysis takes some essential elements that structure the daily reality of the live in caregivers, as the continued confinement and persistent intimacy with highly dependent people. The article ends with a reflection on affective ambiguous roles. The analysis set is supported by biographical interviews conducted with workers. © Martin Média. Tous droits réservés pour tous pays.</t>
  </si>
  <si>
    <t>10.3917/trav.028.0075</t>
  </si>
  <si>
    <t>Borri, Claudia</t>
  </si>
  <si>
    <t>Italian flavours in Chile. The cases of Capitan Pastene and the Ambrosoli enterprise</t>
  </si>
  <si>
    <t>CONFLUENZE-RIVISTA DI STUDI IBEROAMERICANI</t>
  </si>
  <si>
    <t>Italian migration; Chile; food; Capitan Pastene; Ambrosoli</t>
  </si>
  <si>
    <t>At the beginning of the 20th century, despite the number of Italian immigrants to Chile was not very high, they had a remarkable cultural impact in that country. In this context, our essay aims to analyse a phenomenon which has not been dealt with until today: the production of Italian food in the village of Capitan Pastene (1905) as well as in the confectionary factory Costantino Ambrosoli in Vina del Mar (1948). Their products had been obtained by adapting traditional Italian food to the taste of Chilean consumers and have now become very popular all over the country.</t>
  </si>
  <si>
    <t>10.6092/issn.2036-0967/9563</t>
  </si>
  <si>
    <t>Borsdorf A.; Hidalgo R.</t>
  </si>
  <si>
    <t>Fragmentierende Stadtentwicklung unter Bedingungen der Globalisierung - Ergebnisse aus Santiago de Chile; [Le développement urbain fragmenté à l’épreuve de la mondialisation: L’exemple de Santiago du Chili]; [Fragmentierende stadtentwicklung unter bedingungen der globalisierung - Ergebnisse aus Santiago de Chile]</t>
  </si>
  <si>
    <t>Geographica Helvetica</t>
  </si>
  <si>
    <t>Amenity migration; Chile; Segregatio; Ulobalisation; Urban development</t>
  </si>
  <si>
    <t>Globalisation has signilicantly changed the face of urban space in Latin American cities. Chile was the first country on the subcontinent to initiate neoliberal reforms in 1970s. Since then, global change (climate change and globalisation) has clearly marked the Capital city, Santiago de Chile, with signs of fragmented development everywhere in the urban fabric.This arti-cle summarises the results of different research pro-jects fealised by the authors over the last few years. They provide evidence that fragmentation not only leads to new patterns of social and ethnic Segregation and the redistribution of retail trade and amenities* but also contributes towards new forms of mobility and migration. © Author(s) 2011. This work is distributed.</t>
  </si>
  <si>
    <t>10.5194/gh-66-122-2011</t>
  </si>
  <si>
    <t>Borsdorf A.; Hildalgo R.; Vidal-Koppmann S.</t>
  </si>
  <si>
    <t>Social segregation and gated communities in Santiago de Chile and Buenos Aires. A comparison</t>
  </si>
  <si>
    <t>Habitat International</t>
  </si>
  <si>
    <t>The two Cono Sur capitals share similarities (effects of globalization, socio-spatial segregation, fragmentation, rise of gated cities, social housing in remote locations lacking public transport), however a variety of differences can be observed. Whereas in Santiago gated communities are widespread in the urban fabric, in Buenos Aires these communities are concentrated only in the north and northwestern parts of the city. In Chile parcelas de agrado with more than 5000 m2 fulfill the demand of upper class citizens for more space for luxury villas. Ethnic segregation is seen as a problem in Santiago, where Peruvian immigrants occupy some sectors of the city centre, whereas in Buenos Aires most immigrants are coming from non-metropolitan regions of Argentina. Last not least gentrification in quite strong in Santiago's central communes, whereas the Argentines in a quite unusual way interpret the development of gated communities as a process of social upgrading. © 2015 The Authors.</t>
  </si>
  <si>
    <t>10.1016/j.habitatint.2015.11.033</t>
  </si>
  <si>
    <t>Brablec D.</t>
  </si>
  <si>
    <t>The neoliberal multicultural state and the urban Indigenous associative model in Santiago de Chile</t>
  </si>
  <si>
    <t>British Journal of Sociology</t>
  </si>
  <si>
    <t>Chile; identity politics; Mapuche; neoliberal multiculturalism; urban Indigenous</t>
  </si>
  <si>
    <t>This article argues that since the recovery of democracy in Chile in the early 1990s, the state has been reshaping the Indigenous socio-political landscape by adopting neoliberal multiculturalism as a governance model. By not posing significant challenges to the state's neoliberal political and economic priorities, Indigenous cultural activity has been carefully channelled to meet state expectations of what constitutes urban indigeneity. Drawing on the minority and multicultural studies literature and ongoing ethnographic fieldwork, this article analyses how Mapuche civil society navigates the complexities of two relational models of state/ethnic minority interaction: ethno-bureaucracy and strategic essentialism. Although Mapuche associations have tried to accommodate their interests within the limits of neoliberal multiculturalism, the article argues that this governance model has established incentives for inclusion and exclusion in the socio-political apparatus, resulting in a fragmentation of the Mapuche associative landscape in urban Chile. © 2023 The Authors. The British Journal of Sociology published by John Wiley &amp; Sons Ltd on behalf of London School of Economics and Political Science.</t>
  </si>
  <si>
    <t>10.1111/1468-4446.13055</t>
  </si>
  <si>
    <t>Indigenous Language Revitalisation: Mapuzungun Workshops in Santiago de Chile</t>
  </si>
  <si>
    <t>Bulletin of Latin American Research</t>
  </si>
  <si>
    <t>cities; coloniality; community-based associations; indigenous language revitalisation; language asphyxiation; Mapuche</t>
  </si>
  <si>
    <t>Most Indigenous peoples' languages are considered severely endangered, and Mapuzungun is no exception. Mapuche associations in Santiago de Chile have implemented a series of workshops to revitalise the language and revert this trend. This article uses ethnographic data to analyse two interconnected aspects that have motivated members of Mapuche associations to participate in community language workshops, namely identity and community-building. Although they have contributed to reverse the loss of Mapuzungun in Santiago, the implementation of language workshops has been limited by a state socio-political framework that has historically reproduced colonial-based ideologies that have reinforced the subalternisation of Indigenous languages. This article highlights the dynamic interplay of Mapuzungun revitalisation with practices that reinforce coloniality. © 2021 The Author. Bulletin of Latin American Research published by John Wiley &amp; Sons Ltd on behalf of Society for Latin American Studies.</t>
  </si>
  <si>
    <t>10.1111/blar.13291</t>
  </si>
  <si>
    <t>Relational Goods and Endurance of Voluntary Associational Participation: The Case of the Indigenous Mapuche in Santiago de Chile</t>
  </si>
  <si>
    <t>ethnic association; ethnicity; Mapuche; membership; relational goods; urban environment</t>
  </si>
  <si>
    <t>This article analyses the reasons for the continuing membership of Mapuche associations in Santiago de Chile after the promulgation of the Indigenous Law in 1993. By following a relational goods approach, the article suggests that the constructed nature of ethnicity leads the Mapuche to create and join ethnic associations in an urban milieu. This study reveals that the main motivations for sustaining an active associational engagement are threefold: identity recovery struggle, leaving an identity legacy and bonding with their ethnic peers; all of these identified as relational goods. This investigation is based on ethnographic fieldwork conducted over eight months. © 2018 The Author. Bulletin of Latin American Research © 2018 Society for Latin American Studies. Published by John Wiley &amp; Sons Ltd</t>
  </si>
  <si>
    <t>10.1111/blar.12837</t>
  </si>
  <si>
    <t>Brablec, Dana</t>
  </si>
  <si>
    <t>Indigenising the city together: ethnic place production in Santiago de Chile</t>
  </si>
  <si>
    <t>Cities; ethnic place; Indigenous peoples; Mapuche associations; urban space</t>
  </si>
  <si>
    <t>The article examines the process of space appropriation and resignification by Indigenous migrant groups in cities. As a result of the repeated use of an urban space over time for cultural activities perceived as emblematic of a common identity, Indigenous individuals confer meanings onto space based on a social construction of their homeland, collectively re-signifying the space, and transforming it into what is presented as a symbolically-based 'ethnic place'. Building on the literature of place identity and original empirical information gathered through ethnographic fieldwork in Santiago de Chile, the article discusses three different paths followed by the Mapuche to gain spaces and produce their own ethnic places in the city, namely, institutional approach, illegal land occupation and symbolic space appropriation. By doing this, the Mapuche are giving new meanings to their identity while shaping the conception of belonging to what constitutes or not the current Indigenous territory.</t>
  </si>
  <si>
    <t>10.1080/1369183X.2020.1814711</t>
  </si>
  <si>
    <t>Bramstedt K.A.</t>
  </si>
  <si>
    <t>Antibodies as Currency: COVID-19’s Golden Passport</t>
  </si>
  <si>
    <t>Journal of Bioethical Inquiry</t>
  </si>
  <si>
    <t>Antibody; COVID-19; Ethics; Health law; Identity theft; Pandemic; Public health; Travel medicine</t>
  </si>
  <si>
    <t>Due to COVID-19, the fragile economy, travel restrictions, and generalized anxieties, the concept of antibodies as a “declaration of immunity” or “passport” is sweeping the world. Numerous scientific and ethical issues confound the concept of an antibody passport; nonetheless, antibodies can be seen as a potential currency to allow movement of people and resuscitation of global economics. Just as financial currency can be forged, so too is the potential for fraudulent antibody passports. This paper explores matters of science, ethics, and identity theft, as well as the problems of bias and discrimination that could promulgate a world of pandemic “golden passports.” © 2020, Journal of Bioethical Inquiry Pty Ltd.</t>
  </si>
  <si>
    <t>10.1007/s11673-020-09996-5</t>
  </si>
  <si>
    <t>Brandariz, José Ángel; Dufraix, Roberto; Quinteros, Daniel</t>
  </si>
  <si>
    <t>La expulsión judicial en el sistema penal chileno: ¿Hacia un modelo de Crimmigration ?</t>
  </si>
  <si>
    <t>Política criminal</t>
  </si>
  <si>
    <t>criminal law deportation; crimmigration; administrative removal; migration enforcement</t>
  </si>
  <si>
    <t>Abstract: This paper examines, from both a legal perspective and an empirical viewpoint, the Chilean deportation system, and more precisely the gradual consolidation of criminal law deportations, which were enacted by the Law No. 20,603. For these purposes, the analysis draws upon a theoretical framework that gained significant academic traction in the last years, i.e. the so-called ‘crimmigration’ thesis. From this standpoint, this paper is largely focused on exploring whether, in line with what has occurred in a number of jurisdictions, also in the Chilean criminal justice system crime-based and criminal law deportations have been given increasing preference in the recent past. In addition, the article concludes by delving into both the meaning and grounds of criminal law deportations and the variety of law enforcement rationales which are at play in this field of penal policies.</t>
  </si>
  <si>
    <t>26</t>
  </si>
  <si>
    <t>Bravo Acevedo, Guillermo</t>
  </si>
  <si>
    <t>Seguridad, migración, trata de personas y tráfico de migrantes en Chile (2010-2018)</t>
  </si>
  <si>
    <t>Revista de historia americana y argentina</t>
  </si>
  <si>
    <t>migration; security; human trafficking; migrant smuggling</t>
  </si>
  <si>
    <t>Abstract Since man inhabits the earth there have been population movements. In the twenty-first century, such movements are part of globalization and the world economy. In this way, international and regional migrations have caused changes in the migration policies of many countries, but, at the same time, they have opened spaces for transnational organized crime to develop profitable illicit businesses, which are related to the smuggling of migrants and human trafficking. Chile does not escape this situation since economic growth has made the country an attractive receiving society for regular cross-border and regional migrants and, also, for organized crime to develop its business of human trafficking and migrant smuggling.</t>
  </si>
  <si>
    <t>10.48162/rev.44.017</t>
  </si>
  <si>
    <t>Bravo, Cecilia; Vergara del Solar, Jorge Ivan; Ordonez Charpentier, Angelica</t>
  </si>
  <si>
    <t>Pawkar Raymi, an affirmation of the ethnic identity in migration: case of kichwa-otavalo immigrants in Santiago de Chile</t>
  </si>
  <si>
    <t>community; sense of belonging; tradition; social capital; cultural capital</t>
  </si>
  <si>
    <t>This paper establishes a theoretical and empirical analysis about the meanings that are developed in the Pawkar Raymi, a festivity of the migrating indigenous kichwa-otavalo in the city of Santiago de Chile. A rupture within the everydayness can be seen, allowing festive, ludic and interactive processes to occur, where processes of ethnic identity reinterpretation and sense of belonging to a community occur; outlining issues that most of the time are not evident within the community of origin because they respond to new elements in a globalised society. The approach comes from an anthropological conceptual analysis and from social psychology, from the testimonies obtained, working with first hand sources in order to understand the processes of ethnic identity affirmation of the kichwa-otavalo.</t>
  </si>
  <si>
    <t>e3548</t>
  </si>
  <si>
    <t>10.22199/issn.0718-1043-2021-0013</t>
  </si>
  <si>
    <t>Brower Beltramin, Jorge</t>
  </si>
  <si>
    <t>Análisis de la legislación migratoria chilena en su estatus de dispositivo discursivo</t>
  </si>
  <si>
    <t>Revista mexicana de ciencias políticas y sociales</t>
  </si>
  <si>
    <t>244</t>
  </si>
  <si>
    <t>10.22201/fcpys.2448492xe.2022.244.80755</t>
  </si>
  <si>
    <t>S</t>
  </si>
  <si>
    <t>Brown, Rupert; Zagefka, Hanna</t>
  </si>
  <si>
    <t>THE DYNAMICS OF ACCULTURATION: AN INTERGROUP PERSPECTIVE</t>
  </si>
  <si>
    <t>ADVANCES IN EXPERIMENTAL SOCIAL PSYCHOLOGY, VOL 44</t>
  </si>
  <si>
    <t>The growing global trend of migration gives social psychological enquiry into acculturation processes particular contemporary relevance. Inspired by one of the earliest definitions of acculturation [Redfield, R., Linton, R., &amp; Herskovits, M. (1936). Memorandum on the study of acculturation. American Anthropologist, 38, 149-152.], we present a case for considering acculturation as a dynamic intergroup process. We first review research stimulated by the dominant perspective in the field, Berry's acculturation framework. Noting several limitations of that work, we identify five issues which have defined our own research agenda: (1) the mutual influence of acculturation preferences and intergroup attitudes; (2) the influence of the perceived acculturation preferences of the outgroup on own acculturation and intergroup attitudes; (3) discrepancies between ingroup and outgroup acculturation attitudes as a determinant of intergroup attitudes; (4) the importance of the intergroup climate in which acculturation takes place; and (5) acculturation as a process developmental and longitudinal perspectives. We review research of others and our own that document each of these points: longitudinal and experimental studies, rarities in the acculturation literature, figure prominently. Research settings include Turkish-German relations in Germany, indigenous-nonindigenous relations in Chile, African migrants to Italy and ethnic majority-minority relations in the United Kingdom. We conclude with an agenda for future acculturation research and some policy implications of our analysis.</t>
  </si>
  <si>
    <t>10.1016/B978-0-12-385522-0.00003-2</t>
  </si>
  <si>
    <t>Brumat L.; Geddes A.; Pettrachin A.</t>
  </si>
  <si>
    <t>Making Sense of the Global: A Systematic Review of Globalizing and Localizing Dynamics in Refugee Governance</t>
  </si>
  <si>
    <t>globalization; localization; refugee governance; systematic review</t>
  </si>
  <si>
    <t>What does the research literature on refugee and asylum migration tell us about the impact of global norms and standards on the protection of asylum-seekers and refugees? Do we see the effective reach of global standards or do we see responses to be dependent on 'local' contexts? We conducted a systematic review of the literature across six case countries on two key issues in contemporary refugee governance: 'mobility' and 'containment'. After coding 252 documents, we found that while 'the global' has an important normative and aspirational resonance and is an identified source of rights expansion and increased mobility, there is significant evidence for the 'localisation' of global standards on asylum and refugee protection. This has important implications for the diffusion of global norms and standards. Our results also reveal a strong focus in the research literature on 'containment' policies and on the role of state actors in developing these policies.  © 2021 The Author(s) 2021. Published by Oxford University Press. All rights reserved.</t>
  </si>
  <si>
    <t>10.1093/jrs/feab092</t>
  </si>
  <si>
    <t>Brumat, Leiza; Espinoza, Marcia Vera</t>
  </si>
  <si>
    <t>Actors, Ideas, and International Influence: Understanding Migration Policy Change in South America</t>
  </si>
  <si>
    <t>This article analyzes the role of ideas, domestic actors, and international influences in migration policy change (MPCh) in Argentina, Brazil, and Chile. Building on 67 in-depth interviews with key actors in migration governance, public declarations of government representatives, and relevant legislation, we argue that the increased power of securitist actors within national bureaucracies shaped MPCh in all three countries. Between 2015 and 2019, these actors promoted a set of programmatic ideas and policy proposals that linked migration to security issues and distinguished between good and bad immigrants, emulating Global North countries. This set of ideas resulted in policy change at the country level, but at the same time, national-level policy change coexisted with continuity at the regional level. This article contributes to the literature on migration governance, first, by extending the geographical focus of migration policy studies, which frequently focus on party politics, coalitions, and public opinion, beyond the Global North. Second, we further current explanations of MPCh and policy contradictions by differentiating between continuity and change in programmatic ideas, policy proposals, and public philosophies. Third, we advance the regional migration policy literature by distinguishing between different groups of actors within national bureaucracies and enhancing understanding of these actors' roles at both the national and international levels. Across its sections, this article shows that policy ideas-where and from whom they come-matter. By unpacking the different types of ideas that influence policy shifts and the actors who promote them, we can better understand apparent contradictions in migration policy.</t>
  </si>
  <si>
    <t>10.1177/01979183221142776</t>
  </si>
  <si>
    <t>Brumat, Leiza; Finn, Victoria</t>
  </si>
  <si>
    <t>Mobility and Citizenship during Pandemics: The multilevel political responses in South America</t>
  </si>
  <si>
    <t>Citizenship; Covid-19 pandemic; Migration; Mobility; South America</t>
  </si>
  <si>
    <t>During the Covid-19 pandemic in 2020, (im)mobility policies affected individuals' citizenship rights and movement within countries and across international borders. Prior to the pandemic, the mobility regime in South America was relatively open for regional migrants, bolstered on free residence and equal rights. In this analysis, we focus on human mobility and citizenship rights in South America by examining local and national government responses to Covid-19 between March and August 2020. Using databases, newspaper columns, government websites, and legislation, we outline the region's travel restrictions and exceptions, closures and militarization of borders, internal movement procedures, and economic subsidies to ease Covid-19's impact. While the regional mobility regime had already been under stress since 2015, exceptions to border closures and internal mobility further stratified people based on legal and economic statuses. Deeply affecting individual-state relations, access to mobility and citizenship rights such as labor, housing, and healthcare varied between nationals and non-nationals and between regular and irregular migrants. Reactions may have longer term effects, especially for Venezuelans, since the crisis created new inequalities and contradictions within the regional mobility regime, originally aimed at reducing them.</t>
  </si>
  <si>
    <t>10.1285/i20356609v14i1p321</t>
  </si>
  <si>
    <t>Bucca, Mauricio; Drouhot, Lucas G.</t>
  </si>
  <si>
    <t>Intergenerational Social Mobility Among the Chil-dren of Immigrants in Western Europe: Between Socioeconomic Assimilation and Disadvantage</t>
  </si>
  <si>
    <t>SOCIOLOGICAL SCIENCE</t>
  </si>
  <si>
    <t>immigration; assimilation; social mobility; second generation; social stratification; Europe</t>
  </si>
  <si>
    <t>Are Western European countries successfully incorporating their immigrant populations? We approach immigrant incorporation as a process of intergenerational social mobility and argue that mobility trajectories are uniquely suited to gauge the influence of immigrant origins on life chances. We compare trajectories of absolute intergenerational mobility among second generation and native populations using nationally representative data in seven European countries and report two major findings. First, we document a master trend of native-immigrant similarity in mobility trajectories, suggesting that the destiny of the second generation - like that of their native counterpart - is primarily determined by parental social class rather than immigrant background per se. Secondly, disaggregating results by regional origins reveals heterogeneous mobility outcomes. On one hand, certain origin groups are at heightened risks of stagnation in the service class when originating from there and face some disadvantage in attaining the top social class in adulthood when originating from lower classes. On the other hand, we observe a pattern of second-generation advantage, whereby certain origin groups are more likely to experience some degree of upward mobility. Altogether, these results suggest that immigrant origins per se do not strongly constrain the socioeconomic destiny of the second generation in Western Europe.</t>
  </si>
  <si>
    <t>10.15195/v11.a18</t>
  </si>
  <si>
    <t>Buckley R.; Shekari F.; Mohammadi Z.; Azizi F.; Ziaee M.</t>
  </si>
  <si>
    <t>World Heritage Tourism Triggers Urban–Rural Reverse Migration and Social Change</t>
  </si>
  <si>
    <t>Journal of Travel Research</t>
  </si>
  <si>
    <t>economic; Iran; Kerman; mobility; water; women</t>
  </si>
  <si>
    <t>We show that tourism to a World Heritage Area generates economic opportunities in nearby rural communities, sufficient to reverse migration to the city. To carry out this test, we used an isolated region with a simple economic structure and a newly declared WHA, and analyzed economic constraints, opportunities, and decision processes at the micro scale of individual households, through qualitative analysis of interviews and on-site audits. Tourism triggered a switch from accelerating decline of rural villages, with closing schools and abandoned buildings and farmland, to accelerating recovery and reinvigoration, with new ecolodges and adventure tours employing household members and other local residents. The switch was assisted by low-interest ecotourism loans. It has also generated new economic opportunities for women specifically, and these have created much greater social freedom and self-determination, now also accepted by men. © The Author(s) 2019.</t>
  </si>
  <si>
    <t>10.1177/0047287519853048</t>
  </si>
  <si>
    <t>Buonanno, Paolo; Pazzona, Matteo</t>
  </si>
  <si>
    <t>Migrating mafias</t>
  </si>
  <si>
    <t>REGIONAL SCIENCE AND URBAN ECONOMICS</t>
  </si>
  <si>
    <t>Migration; Mafia-type organizations; Policy changes</t>
  </si>
  <si>
    <t>In the last decades, Italian southern-based mafia organizations have expanded their sphere of influences to the traditionally immune Northern regions. We empirically investigate the channels that favored the diffusion of southern Italian mafias to the northern Italian provinces. We focus our attention on two key factors: i) the large influx of southern migrants during the economic miracle period and ii) the application of the confino law which imposed mafiosi to resettle far from their province of origin. Our findings suggest that the interaction between forced resettlement and migration has represented a crucial factor in favoring criminal organization transplantation to central and northern regions. (C) 2013 Elsevier B.V. All rights reserved.</t>
  </si>
  <si>
    <t>10.1016/j.regsciurbeco.2013.11.005</t>
  </si>
  <si>
    <t>Buratovich, Paula Luciana</t>
  </si>
  <si>
    <t>Derecho a la educación de la población migrante en Argentina y en Chile: revisión de antecedentes sobre acceso, brechas y obstáculos para la inclusión educativa.</t>
  </si>
  <si>
    <t>Educational inclusion; Migrant students; Venezuelan migration; Acces; Obstacles</t>
  </si>
  <si>
    <t>Abstract Due to its magnitude and dynamism, Venezuelan migration has changed the migration patterns of Latin America and has become a topic of interest on national and international agendas. Although Chile and Argentina are part of this trend, the educational dimension of the phenomenon has received little attention, despite the extensive history that studies on migration and education have there. With the aim of identifying reading keys and knowledge gaps, the article presents a review of previous studies on access, gaps and obstacles to educational inclusion faced by migrant populations in the mandatory levels of the educational system, with special attention on the Venezuelan case. One consensus found suggests that a comprehensive analysis of the right to education of the migrant population must go beyond mere access and question the conditions under which this access occurs.</t>
  </si>
  <si>
    <t>69</t>
  </si>
  <si>
    <t>10.1590/1980-85852503880006910</t>
  </si>
  <si>
    <t>Burrell J.</t>
  </si>
  <si>
    <t>In and out of rights: Security, migration, and human rights talk in postwar Guatemala</t>
  </si>
  <si>
    <t>Journal of Latin American and Caribbean Anthropology</t>
  </si>
  <si>
    <t>Guatemala; Human rights; Maya; Migration; Security; Transition</t>
  </si>
  <si>
    <t>This article examines the interconnections between security, migration, and human rights in a Mam Maya community in postwar Guatemala. It does so by exploring so-called maras (gangs, often of young wage-labor migrants returned from the United States) and the security committees that have formed to control them. In the resulting nexus of relationships and powerful contradictions, individuals move in and out of rights entitlement in Guatemala and in the United States, producing a flexible and fluid concept of rights, their meanings, and potential uses. Tracing one case in particular, I show how naming rebellious migrant youth as mareros in this context has the consequence of denying their rights and justifying summary forms of justice, neither just nor exercised predominantly by the state, but rather, in their own communities. These issues, embedded as they are in different kinds of community and intergenerational conflicts as well as local and national historical contexts, go beyond the commensurability of rights talk and security concerns: they speak of the ability to imagine collective futures. © 2010 by the American Anthropological Association.</t>
  </si>
  <si>
    <t>10.1111/j.1935-4940.2010.01064.x</t>
  </si>
  <si>
    <t>Bustos, Raúl; Gairín, Joaquín</t>
  </si>
  <si>
    <t>Adaptación académica de estudiantes migrantes en contexto de frontera</t>
  </si>
  <si>
    <t>Calidad en la educación</t>
  </si>
  <si>
    <t>border; education; migration</t>
  </si>
  <si>
    <t>ABSTRACT: The objective of this study is to analyze the academic adaptation process experienced by migrant students in elementary and secondary schools in the city of Arica, a research context characterized by its close proximity to an international border. This study takes on a qualitative approach to appreciate reality as it is constructed from perspective of migrant students. The data collected includes two focus groups and fifteen in-depth interviews. The focus groups gathered input from teachers who work in educational establishments with migrant students and parents of migrant students that attend educational establishments in the city of Arica. The interviews were conducted on school leaders as well as migrant students and in the latter case, maintained an autobiographical focus. An open coding technique was applied to analyze content based on strings of text. The results indicate that the context studied demonstrates limited predisposition to accept interculturality. The schools are based on the premise that it is the student who must adapt to the school system and take on the task of standardizing their own behavior. This fact is justified by the positive learning outcomes obtained by the group of students that are able to do so.</t>
  </si>
  <si>
    <t>46</t>
  </si>
  <si>
    <t>Caballero M.E.; Cadena B.C.; Kovak B.K.</t>
  </si>
  <si>
    <t>Measuring Geographic Migration Patterns Using Matrículas Consulares</t>
  </si>
  <si>
    <t>Immigration law; International migration; Mexico; United States</t>
  </si>
  <si>
    <t>In this article, we show how to use administrative data from the Matrícula Consular de Alta Seguridad (MCAS) identification card program to measure the joint distribution of sending and receiving locations for migrants from Mexico to the United States. Whereas other data sources cover only a small fraction of source or destination locations or include only very coarse geographic information, the MCAS data provide complete geographic coverage of both countries, detailed information on migrants’ sources and destinations, and a very large sample size. We first confirm the quality and representativeness of the MCAS data by comparing them with well-known household surveys in Mexico and the United States, finding strong agreement on the migrant location distributions available across data sets. We then document substantial differences in the mix of destinations for migrants from different places within the same source state, demonstrating the importance of detailed substate geographical information. We conclude with an example of how these detailed data can be used to study the effects of destination-specific conditions on migration patterns. We find that an Arizona law reducing employment opportunities for unauthorized migrants decreased emigration from and increased return migration to Mexican source regions with strong initial ties to Arizona. © 2018, Population Association of America.</t>
  </si>
  <si>
    <t>10.1007/s13524-018-0675-6</t>
  </si>
  <si>
    <t>Cabieses, Baltica; Tunstall, Helena; Pickett, Kate</t>
  </si>
  <si>
    <t>Understanding the Socioeconomic Status of International Immigrants in Chile Through Hierarchical Cluster Analysis: a Population-Based Study</t>
  </si>
  <si>
    <t>INTERNATIONAL MIGRATION</t>
  </si>
  <si>
    <t>Immigration to Chile is not large (just under 2% of the total population) but has increased in recent years. This study aimed to analyse the socioeconomic status (SES) of immigrants in Chile and compare it with the Chilean-born, by secondary data analysis of an anonymous nationally representative survey (CASEN, 2006). Immigrants are categorized into Low, Medium and High SES through hierarchical cluster analysis. Around 1 per cent of the total sample are international immigrants; an additional 0.7 per cent did not report their migration status. Self-reported immigrants show great variability in their SES. Immigrants in the Low SES cluster appeared to be significantly younger than those in Medium and High SES, also more likely to be children, women and belong to an ethnic minority. Immigrants in the Low SES cluster appeared similar to the unemployed, poorest Chilean-born but are more than eight years younger on average and more likely to be female. Immigrants to Chile are a unique group, with socio-demographic characteristics that differ significantly from the Chilean-born population, but there is great heterogeneity and complexity within this group. Cluster analysis provided a meaningful interpretation of the multidimensional concept of SES and allowed the identification of a vulnerable group of Low SES immigrants to Chile.</t>
  </si>
  <si>
    <t>10.1111/imig.12077</t>
  </si>
  <si>
    <t>Cáceres O.P.; Ykeho A.D.; Gastelo E.L.; Pinto P.H.; López M.Á.S.</t>
  </si>
  <si>
    <t>Segregated Trajectories, Isolated Lives: Venezuelan Migrants in Metropolitan Lima; [Trayectorias segregadas, vidas en aislamiento: Migrantes venezolanos en Lima metropolitana1]</t>
  </si>
  <si>
    <t>Bitacora Urbano Territorial</t>
  </si>
  <si>
    <t>housing; migration; social capital</t>
  </si>
  <si>
    <t>We ask about the logic behind the residential trajectories of migrant population and their effect in the composition of their social bonds. We introduce the case of Lima, the city with the largest number of Venezuelan migrants in the continent, where we collected a total of 37 interviews (27 to Venezuelans, 10 to Peruvians for the aim of comparison). We found that the residential trajectories of migrants are strongly linked to the locations of their jobs. However, since they change jobs often, they also change their places of residence. These residential changes and their intense job schedules, make their social bonds to be temporary, having to re-make them with each residential change. As a consequence, immigrant population's segregation is not only spatial, but supposes encapsulated lives, with few permanent ties and several disposable ties along their trajectories. © 2023 Universidad Nacional de Colombia. All rights reserved.</t>
  </si>
  <si>
    <t>10.15446/bitacora.v33n3.109484</t>
  </si>
  <si>
    <t>Calderon Le Joliff, Tatiana; Pardo-Gamboa, Christian</t>
  </si>
  <si>
    <t>Cliche Humanitarianism: Migrant Gazes at the Rhetoric of Dangerous Pity in We Need New Names and Americanah</t>
  </si>
  <si>
    <t>CO-HERENCIA</t>
  </si>
  <si>
    <t>Uprooting; humanitarianism; media; migration; piety</t>
  </si>
  <si>
    <t>Due to their intermediate condition of cultural translator, the migrant subject presents an ambiguous perspective on the cliches of humanitarianism. The protagonists in We Need New Names and Americanah are able to relate their experiences with humanitarian aid, while migration distances them from this condition, due to their origins, leading to a critical and ironically condemnatory voice about the paradoxes of piety. At the same time, their settlement in the host country disorients them and makes them progressively lose their ability for making penetrating reflections, turning them into consumers of suffering from a distance and reinforcing the coloniality of power. First, we look at the uprooting of migrant subjects, Ifemelu and Darling; this is followed by a discussion on the evolution of the politics and the paradoxes of pity and their influence on the spectacle of suffering from the gaze of the migrant subject; and finally, we examine the artifice of cliche humanitarianism in the media and photography, and its relationship with NGOs.</t>
  </si>
  <si>
    <t>10.17230/co-herencia.19.36.8</t>
  </si>
  <si>
    <t>Calderón-Seguel M.; Prieto M.</t>
  </si>
  <si>
    <t>Productive practices in Andean rural areas and their relationship to extractive markets (Atacama Desert, northern Chile, 1915-2019)</t>
  </si>
  <si>
    <t>Rural History</t>
  </si>
  <si>
    <t>Extractivism has marked the history of Latin America whose operations are in rural territories inhabited mainly by indigenous populations. Mining has had a remarkable expansion in rural territories of the Andes. Critical studies of these processes have focused on the disruptive aspects and conflict between companies, local populations, and States. However, mining has also been intertwined with the territories based on contradictory relationships at different timescales. To examine this issue, we carried out a historical reconstruction of the productive practices of the Caspana community indigenous (northern Chile) and their different forms of connection with mining development. We combine diverse data sources and methodological approaches: oral histories obtained from ethnography, censuses, explorers' records, and academic literature. We identify different types of relationships over time, according to the different forms of indigenous participation in the extractive markets and the deployment and rearrangement of diverse economic strategies by the indigenous population.  © The Author(s), 2023. Published by Cambridge University Press.</t>
  </si>
  <si>
    <t>10.1017/S0956793323000110</t>
  </si>
  <si>
    <t>Calquín C.; Galaz C.; Magaña I.</t>
  </si>
  <si>
    <t>Intervention and migrant families: critical analysis of "vulnerability" from professionals; [Intervenção e famílias migrantes: análise crítica da “vulnerabilidade” dos profissionais]; [Intervención crítico de la «vulnerabilidad» y familias migrantes: desdeanálisis los/las profesionales]</t>
  </si>
  <si>
    <t>childhood; families; migration; Vulnerable groups</t>
  </si>
  <si>
    <t>This paper analyzes the meanings that the notion of vulnerability acquires in social interventions with migrant families in Santiago de Chile in relation to a system that has high levels of xenophobia and racism. Qualitative research was carried out using semi-structured interviews and content analysis in a sample consisting of 10 professionals from the psycho-social field who work with the migrant population in the Metropolitan Region of Chile. The results reveal how the social intervention constructs a notion of a migrant subject strongly associated with vulnerability in which the xenophobic and racist matrix exacerbates the dynamics of exclusion. In addition, negative evaluations are expressed by participants in the study about parental practices, an over-culturalization of their care practices and the verification of subtle forms of control, discipline and normalization of migrant families. © 2022 Women's Health Care. All rights reserved.</t>
  </si>
  <si>
    <t>10.11600/rlcsnj.20.2.5326</t>
  </si>
  <si>
    <t>Campos-Medina F.; Ojeda Pereira I.</t>
  </si>
  <si>
    <t>School and neighborhood selection as mechanism of socio-urban exclusion in Santiago of Chile: an action approach</t>
  </si>
  <si>
    <t>Urban Research and Practice</t>
  </si>
  <si>
    <t>agency capability; Chile; housing selection; school selection; Socio-urban exclusion</t>
  </si>
  <si>
    <t>We propose to study a set of biographical narratives about neighborhoods and schools’ selection in Santiago of Chile. Our argument holds that these family decisions have the capacity to transform institutional logics which are fundamental in the experience of urban integration/exclusion. In the analysis of 25 in-depth interviews, we identify three interpretative keys to explain these decisions: biographical disengagement, social retraction and polarization of representations, which together point at the search for social integration as the main absence in urban institutions. Finally, we discuss the limitations of a socio-territorial policy where integration is a secondary effect and not a declared action or policy outcome. © 2022 Informa UK Limited, trading as Taylor &amp; Francis Group.</t>
  </si>
  <si>
    <t>10.1080/17535069.2022.2080582</t>
  </si>
  <si>
    <t>Canales Tapia, Pedro; Urrutia Leiva, Marie</t>
  </si>
  <si>
    <t>People of the earth without earth: migration, Chilean laws and reductional tensions in the twentieth century</t>
  </si>
  <si>
    <t>CUHSO-CULTURA-HOMBRE-SOCIEDAD</t>
  </si>
  <si>
    <t>Mapuche history; territorial reduction; Mapuche diaspora; migration</t>
  </si>
  <si>
    <t>The present work delves into the debate regarding the migratory processes experienced by the Mapuche population during the 20th century since its reductions in Chilean cities. The aim of this work is to analyze the Mapuche walk in the cities, in order to identify the routes of exodus and return to the ancient territory, in contexts of evident material impoverishment. This, from the connection of these wanderings and the debates regarding migration, indigenous laws, diaspora and Mapuche return, as a matrix of analysis; besides a methodological work, with a deep epistemological approach based on the contributions of oral history as investigative support is added.</t>
  </si>
  <si>
    <t>10.7770/CUHSO-V32N1-ART2406</t>
  </si>
  <si>
    <t>Canales Urriola, Jorge; Moreno Garcia, Roberto</t>
  </si>
  <si>
    <t>Urban Sustainability Indicators and International Migration Processes in Midsize Cities: Housing and Public Space in two Urban Zones of Temuco, Chile</t>
  </si>
  <si>
    <t>URBE-REVISTA BRASILEIRA DE GESTAO URBANA</t>
  </si>
  <si>
    <t>International Migrations; Urban Sustainability; Housing; Urban Public Space; Temuco</t>
  </si>
  <si>
    <t>In the last decade, Chile has experienced a significant increase in international migration, that has impacted differently in individual cities of the country. Within this framework, the objective of the article is to analyze the relationship between urban sustainability and migrant population's habitability conditions and their uses of urban space in an intermediate city in southern Chile (Temuco), seeking to identify the critical urban aspects that should be addressed in order to promote sustainable development. Identifying two urban zones of the city, data from a survey on habitability and public space directed at migrants, along with some urban sustainability indicators collected in four neighborhoods of both areas, are compared. The results show clear differences between zones, both in migrant population's housing conditions and their uses of the public space, as well as in land occupation and accessibility to green areas in their neighborhoods, showing the existence of urban unsustainability features that affect the quality of life of immigrants. It is concluded about the need to collect empirical evidence limited to specific neighborhoods to establish correlations between sustainability and mi-gration variables that allow the development of appropriate and sustainable urban planning.</t>
  </si>
  <si>
    <t>e20210398</t>
  </si>
  <si>
    <t>10.1590/2175-3369.015.e20210398</t>
  </si>
  <si>
    <t>Canales, Alejandro, I</t>
  </si>
  <si>
    <t>Contemporary immigration in Chile. From ethnic-national differentiation to class inequality</t>
  </si>
  <si>
    <t>PAPELES DE POBLACION</t>
  </si>
  <si>
    <t>Migration; Chile; social inequality; discrimination</t>
  </si>
  <si>
    <t>In the last decade, international migration in Chile has acquired renewed interest. However, in many cases, immigration and migrants are analyzed as a relatively homogenous and abstract whole, without considering the structures of social differentiation that make it up. In this text, we move from the demographic and formal analyzes that illustrate the volumes and trends of immigration as a component of the Chilean population, to an analysis of how the differentiation structures of immigration correspond to the structures of social differentiation and classes that prevails in Chilean society. As a social and historical process, immigration is also traversed by the social structures of differentiation and inequalities that constitute Chilean society, reproducing in their own way those same structures of social differentiation. Our interest in this article is to document with statistical and demographic data these structures of social differentiation between the different components of contemporary immigration in Chile. For this, we rely on the social and demographic statistics recorded by the population censuses and the CASEN surveys, the main sources of sociodemographic information at the national level in Chile.</t>
  </si>
  <si>
    <t>10.22185/24487147.2019.100.13</t>
  </si>
  <si>
    <t>Candina Polomer, Azun; Marzuca Butto, Ricardo</t>
  </si>
  <si>
    <t>Arab migration and integration in the Southern Cone in the first half of the 20th century: the Chilean case</t>
  </si>
  <si>
    <t>MISCELANEA DE ESTUDIOS ARABES Y HEBRAICOS-SECCION ARABE-ISLAM</t>
  </si>
  <si>
    <t>Arabs; Migration; Identity; Chile; History</t>
  </si>
  <si>
    <t>This article looks at the adaptation and integration strategies used by Arab immigrants in Chile in the first half of the 20th century in response to the turcofobia and discrimination they experienced, in a context in which the paradigm of Orientalism predominated. The key elements of the process are presented, including the creation of different types of institutions, the discursive strategies used to turn the negative connotations associated with Arabs into positive ones, the multidimensional role of the press, political engagement with the freedom movements underway in their home countries and the building of a local Arab identity in permanent dialogue with other Arab migrant communities, especially in Argentina.</t>
  </si>
  <si>
    <t>10.30827/meaharabe.v70i0.15250</t>
  </si>
  <si>
    <t>Cantero Sanchez, Mayte</t>
  </si>
  <si>
    <t>JOANE FLORVIL. AN INTERSECTIONAL APPROACH TO THE RACIALIZATION OF MIGRANT WOMEN IN CHILE</t>
  </si>
  <si>
    <t>ATENEA</t>
  </si>
  <si>
    <t>racism; migration; motherhood; intersectionality; arbitrary discrimination</t>
  </si>
  <si>
    <t>Joane Florvil, a 28 years old migrant woman from Haiti, was arrested on the 30th August 2017. She was accused of allegedly having abandoned her two-month-old daughter inside a public facility in Santiago de Chile. She died a month later due to a liver failure caused by a complication during the hospitalization; she was still under ar-rest. This case study confirms the pervasive racist, sexist and classist interlocking mech-anisms of the Chilean institutions and media, as the development of the process against Miss Florvil illustrates. This case shows the interaction between different categories of intersectional disempowerment. In other words, the fact that Ms. Florvil was a woman, mother, migrant, African descendent, poor and not Spanish-speaker were key features to understand the lethal ending. In this article the processes of racialization and exclu-sion suffered by Ms. Florvil are described. The arbitrary discrimination suffered by the woman evidences the Chilean mono-cultural approach to motherhood.</t>
  </si>
  <si>
    <t>10.29393/At525-1JFMC10001</t>
  </si>
  <si>
    <t>Cañizález A.; Jiménez I.</t>
  </si>
  <si>
    <t>VENEZUELANS IN PERU: A RESTRAINED CITIZENSHIP?; [Migrantes venezolanos en Perú. ¿Ciudadanía limitada?]</t>
  </si>
  <si>
    <t>Contratexto</t>
  </si>
  <si>
    <t>citizenship; journalism; migration; Peru; Venezuela</t>
  </si>
  <si>
    <t>This article provides context to the widespread crisis and human rights violations in Venezuela, which triggered an unprecedented and massive migration of Venezuelans. In Peru, having established the second-largest community of Venezuelan migrants, it is crucial to investigate the effective exercise of citizenship. The article reviews the legal and institutional framework that would allow the exercise of citizenship and, from a communicational perspective, studies characterizing Venezuelan migration in Peruvian media. The article also collects information from surveys conducted by the Peruvian government on Venezuelan migrants. Additionally, the research used the focal group technique to gather experiences and perspectives from Venezuelan journalists living in Peru that reveal limited citizenship. The main limitations to the exercise of citizenship were obstacles to voting, the criminalization of migration, and xenophobia. © 2023 The Author(s).</t>
  </si>
  <si>
    <t>10.26439/contratexto2023.n40.6445</t>
  </si>
  <si>
    <t>Caqueo-Urízar A.; Flores J.; Mena-Chamorro P.; Urzúa A.; Irarrázaval M.</t>
  </si>
  <si>
    <t>Ethnic identity and life satisfaction in indigenous adolescents: The mediating role of resilience</t>
  </si>
  <si>
    <t>Children and Youth Services Review</t>
  </si>
  <si>
    <t>Aymara indigenous adolescents; Ethnic identity; Life satisfaction; Mediation; Resilience</t>
  </si>
  <si>
    <t>Background: Research assessing the association between Life Satisfaction and Resilience has increased considerably because it is recognized as an important variable in enhancing adolescent well-being. However, they have focused on non-indigenous youth and have scarcely addressed the needs of those belonging to ethnic minorities, particularly in Latin America. The aim of this study was to assess the mediating relationship of resilience on the association between ethnic identity and life satisfaction in Aymara adolescents. Methods: 968 students from 11 to 18 years old participated, from Public Schools in the city of Arica, Chile. To measure the variables in this study, the Satisfaction with Life Scale-Child (SWLS-C), the Child and Youth Resilience Measure (CYRM-12) and the Multi-Group Ethnic Scale (MEIM) were used. Results: Although Aymara and non-Aymara students did not show significant differences in Resilience and Life Satisfaction scores, they did show differences in their ethnic identity scores (t = 6.08; p = 0.00), with Aymara students manifesting behavioral statements closer to a moratorium on ethnic identity. This study also provided evidence of the possible mediating relationship of resilience in the association between ethnic identity and life satisfaction (r = 0.211, CI = 0.132–0.293; p = 0.000). Conclusion: It seems that strengthening ethnic identity and resilience strategies could increase students' life satisfaction. This is particularly relevant given the process of cultural integration that Aymara and non-Aymara students appear to be undergoing. © 2020 Elsevier Ltd</t>
  </si>
  <si>
    <t>10.1016/j.childyouth.2020.105812</t>
  </si>
  <si>
    <t>Caqueo-Urizar, Alejandra; Henriquez, Diego; Urzua, Alfonso</t>
  </si>
  <si>
    <t>The effect of discrimination on self-efficacy and life satisfaction among migrant children and adolescents</t>
  </si>
  <si>
    <t>LIMITE-REVISTA DE FILOSOFIA Y PSICOLOGIA</t>
  </si>
  <si>
    <t>Life satisfaction; discrimination; self-efficacy; migration; children and adolescents</t>
  </si>
  <si>
    <t>This study aimed to report the indirect effect of self-efficacy on the relationship between discrimination and life satisfaction in migrant children and adolescents in Chile. Two studies were conducted with 494 migrant children and adolescents in Chile (Study 1, n=292; Study 2, n=202), ranging in age from 9 to 18 years (Study 1, ME=12.30, SD=2.57; Study 2, ME=12.57, SD=2.51). Totaling both samples, 50% were female (Study 1, n=143; Study 2, n=104) and 50% male (Study 1, n=149; Study 2, n=98). The first study investigated the relationship between discrimination and life satisfaction. The second study replicated this association in a different sample, including self-efficacy as a mediating variable. Structural equation modeling was used in both studies to estimate the proposed relationships. The results showed that discrimination is negatively related to life satisfaction and that the self-efficacy of migrant children and adolescents partially mediates this relationship.</t>
  </si>
  <si>
    <t>10.4067/s0718-50652024000100203</t>
  </si>
  <si>
    <t>Caqueo-Urizar, Alejandra; Urzua, Alfonso; De Munter, Koen; Ferrer, Rodrigo; Arqueros, Yorka; Irarrazaval, Matias; Kavanagh, David</t>
  </si>
  <si>
    <t>COMPARING FAMILY FUNCTIONALITY PERCEPTION BETWEEN NON-AYMARA AND INDIGENOUS AYMARA FAMILIES IN NORTHERN CHILE</t>
  </si>
  <si>
    <t>SOCIAL BEHAVIOR AND PERSONALITY</t>
  </si>
  <si>
    <t>family functioning; childhood; migration; psychological problem; Aymara; Chile</t>
  </si>
  <si>
    <t>We compared perception of family functioning in a sample (N = 1,496) of Aymara and non-Aymara parents and children living in Arica, Chile. The children were aged from 9 to 15 years and were recruited from the 5th to 8th grades of 9 elementary schools (4 public, 5 government-subsidized private schools) serving lower socioeconomic areas. Participants completed the Family Functioning Test (FF-SIL), which consists of 14 events or characteristics that may occur in a family. The results showed that parents and children from the Aymara group recorded lower scores for their perception of family functioning than did the non-Aymara group. Addressing this issue may be important in the prevention of psychological problems in these families.</t>
  </si>
  <si>
    <t>10.2224/sbp.2015.43.6.1021</t>
  </si>
  <si>
    <t>Carbajal, Myrian; Ramirez, Carolina; Cavagnoud, Robin; Stefoni, Carolina</t>
  </si>
  <si>
    <t>Reconciling emotional caregiving and self-fulfilment: Peruvian migrants in Switzerland supporting parents in Peru</t>
  </si>
  <si>
    <t>GLOBAL NETWORKS-A JOURNAL OF TRANSNATIONAL AFFAIRS</t>
  </si>
  <si>
    <t>care; emotional well-being; moral duty; self-fulfilment; transnational families</t>
  </si>
  <si>
    <t>This article explores filial transnational caregiving from a subjective and emotional perspective. It analyses the relationship between pursuit of personal fulfilment and concern for parental well-being among Peruvian migrants in Switzerland whose parents remain in Peru. Based on in-depth interviews, we analyse the importance assigned to personal goals, the resignification of filial obligations, and how migrants reconcile the desire to be a 'good' son or daughter with the desire for self-fulfilment. This process, strongly shaped by gender and social class, involves the negotiation of distinct principles of autonomy and filial obligation prevailing in the country of origin and destination. Turning our attention to less explored emotions, such as pride and a sense of fulfilment, we show how to deal with principles that may be in tension, migrant children construe the pursuit of self-fulfilment and the desire to accomplish family responsibilities as interdependent dynamics in the context of filial transnational caregiving.</t>
  </si>
  <si>
    <t>10.1111/glob.12437</t>
  </si>
  <si>
    <t>Cárcamo R.A.; Vermeer H.J.; van der Veer R.; van IJzendoorn M.H.</t>
  </si>
  <si>
    <t>Childcare in Mapuche and Non-Mapuche Families in Chile: The Importance of Socio-economic Inequality</t>
  </si>
  <si>
    <t>Journal of Child and Family Studies</t>
  </si>
  <si>
    <t>Childcare; Chile; Ethnicity; Inequality</t>
  </si>
  <si>
    <t>Two studies are reported examining ethnicity differences in child rearing between Mapuche and non-Mapuche families in Chile. The first study, the Magellan-Leiden Childcare Study (MLCS), consists of a sample of 110 mothers (n = 42 Mapuche) with children younger than 1 year old (M = 6.41 months old). In the second study, we cross-validated our results in a large and representative sample of 14,906 mothers (n = 1,050 Mapuche) and their children (M = 30.38 months old) from the Chilean Encuesta Longitudinal de la Primera Infancia (ELPI). In both studies, the actual quality of care for children provided at home was measured with the Home Observation for Measurement of the Environment. In the MLCS study, additional indicators of the childcare environment were measured, e.g. mothers’ beliefs and attitudes about parenting. The results of both the MLCS study and the ELPI study support our hypothesis that Mapuche and non-Mapuche parents do not provide substantially different child rearing environments for their children. In both studies, the differences between the two ethnic groups are explained by income, which confirms the important role that socio-economic factors play in child rearing and parenting. It is concluded that preserving cultural differences and traditions is an important goal in itself but that for childcare in Chile it seems equally important to eliminate socio-economic inequality. © 2014, Springer Science+Business Media New York.</t>
  </si>
  <si>
    <t>10.1007/s10826-014-0069-3</t>
  </si>
  <si>
    <t>Cárdenas M.E.Mg.; Grau-Rengifo M.O.; Anich N.A.; Silva M.B.; López Contreras E.; Vargas B.D.; Flores A.V.Mg.; Grau-Rengifo M.F.</t>
  </si>
  <si>
    <t>Difficulties and vulnerabilities for migrant children in Chile during the COVID-19 pandemic; [Dificultades y vulnerabilidades de la niñez migrante durante la pandemia por covid-19]</t>
  </si>
  <si>
    <t>childhood; Chile; family; Migration; pandemic; vulnerability</t>
  </si>
  <si>
    <t>After identifying the need to listen to migrant children regarding the vulnerability they and their families faced during the COVID-19 pandemic in Chile, we sought to examine the difficulties and vulnerabilities faced by their families from their point of view. Semi-structured interviews with thematic scripts and graphic support were conducted with 37 children whose families had migrated from other countries in Latin America. Content analysis was carried out using the data collected during these interviews. According to these children, it was evident that migrant families faced a number of difficulties and vulnerabilities during the pandemic that included: physical distance between family members; economic vulnerabilities; lack of family support networks; and difficulties with accessing work. These vulnerabilities were evidenced using both objective and subjective points of view. © 2023 Revista Latinoamericana de Ciencias Sociales. All Rights Reserved.</t>
  </si>
  <si>
    <t>10.11600/RLCSNJ.21.3.5902</t>
  </si>
  <si>
    <t>Cariz M.</t>
  </si>
  <si>
    <t>The Chilean-exile press: The example of the magazine Araucaria de Chile (1978-1989); [La presse de l'exil chilien: L'Exemple de la revue Araucaria de Chile (1978-1989)]</t>
  </si>
  <si>
    <t>Cedille</t>
  </si>
  <si>
    <t>Chile; Dictatorship; Exiles; France; Solidarity; Spain</t>
  </si>
  <si>
    <t>This article, descriptive, is an introduction to Araucaria de Chile, a review in Spanish, printed in Spain, edited in Paris, from 1978 to 1989 by Chilean exiles. Auracaria de Chile symbolized the cultural resistance to Pinochet's dictatorship, it circulated in about forty countries. Numerous volunteers helped Araucaria de Chile to become, in difficult conditions, a widely spread periodical. This cultural review, reflected the artistic production of the time in Chile. It was open to the different fields of the human sciences. Although it was designed for a Chilean readership, it became known on an international level. © 2019 Facultad de Filologia - Universidad de La Laguna. All rights reserved.</t>
  </si>
  <si>
    <t>10.25145/j.cedille.2019.17.16.12</t>
  </si>
  <si>
    <t>Carmona A.; Nahuelhual L.</t>
  </si>
  <si>
    <t>Combining land transitions and trajectories in assessing forest cover change</t>
  </si>
  <si>
    <t>Applied Geography</t>
  </si>
  <si>
    <t>Deforestation; Land trajectories; Land transitions; Land use change; Southern Chile; Temperate rain forests</t>
  </si>
  <si>
    <t>One restriction of landscape studies is that land use and cover change is often regarded as irreversible. A highly dynamic landscape in southern Chile was selected to show that forest cover change involves a series of complex transitions and trajectories. Using Landsat images from 1976, 1985, 1999 and 2007 an in-depth analysis of the transition matrix was conducted to separate random and systematic transitions which were grouped into trajectories using a pixel-history approach. Main trajectories were linked to fragmentation indices and farming systems through cluster analysis. Of the 247 trajectories identified, old growth forest persistence comprised 22% of the landscape, whereas deforestation trajectories comprised 20.9% and were mostly composed of changes from old growth forest to shrubland (13.9%). Trajectories of forest degradation from old growth to secondary forest comprised 19.7% of the landscape. The periods 1976-1985 and 1999-2007 concentrated the most systematic deforestation and degradation transitions. In turn, random transitions predominated between 1985 and 1999, probably in response to economic factors that acted suddenly on the landscape during the 80's, such as the woodchip export and aquaculture booms. A close relationship between landscape fragmentation and the proportion of systematic transitions and farming systems was found; specifically, the highest entropy indices occurred in clusters which exhibited the lowest proportion of systematic transitions and the highest proportion (&gt;70%) of peasant agricultural systems. Understanding the complexity of forest cover change trajectories is relevant for improving the prediction of possible landscape evolutions and establishing landscape management priorities. © 2011 Elsevier Ltd.</t>
  </si>
  <si>
    <t>10.1016/j.apgeog.2011.09.006</t>
  </si>
  <si>
    <t>Carmona, Javiera</t>
  </si>
  <si>
    <t>The limits of the graphic narrative of migration in the public media discourse and the human rights approach</t>
  </si>
  <si>
    <t>UNIVERSITAS-REVISTA DE CIENCIAS SOCIALES Y HUMANAS</t>
  </si>
  <si>
    <t>Human mobility; graphic chronicle of migration; verbo-visual strategies; public discourse of migration; human rights; intermediality; memorialization; Chile</t>
  </si>
  <si>
    <t>The intensification of violence and the violation of human rights in migratory crises is currently a central theme in the experimentation of graphic narratives, which have given rise to the hybrid and critical genre represented by the graphic chronicle and the graphic novel of migration. The verbo-visual treatment is analyzed in the series of twelve graphic chronicles of migration My life as an immigrant in Chile (2018) of Sabado Magazine, in the newspaper El Mercurio, an agent of public discourse that has consolidated stereotypes and prejudices about the migrant population. Through qualitative content analysis of the image -text articulation, the verb -visual strategies of the graphic chronicle of journalistic and literary tone are examined. The elements that confer authenticity, reliability and veracity to the chronicle were established according to the use of testimony, portraits of the protagonists and contextual data. Likewise, literary elements were determined such as the staging of vulnerability, enhancement of the cultural fabric, multiple narrative voices and the recreation of resilient resistance, which together allude to the human rights perspective. The graphic chronicle intensifies the use of the testimonial voice and omits the author (witness), but the latter appears in the verb -visual articulation in biases and introduction of the ambiguity of migration experiences, and in the relationship with the distant near. The graphic chronicle of migration can be significantly modulated by the mediatized public discourse, weakening its critical reading of reality.</t>
  </si>
  <si>
    <t>10.17163/uni.n40.2024.05</t>
  </si>
  <si>
    <t>Carnes M.E.</t>
  </si>
  <si>
    <t>Hooking Workers and Hooking Votes: Enganche, Suffrage, and Labor Market Dualism in Latin America</t>
  </si>
  <si>
    <t>Latin American Politics and Society</t>
  </si>
  <si>
    <t>Labor market dualism-the segmentation of workers between formal, legally protected employment and informal, unprotected status-has long drawn attention from scholars and policymakers in Latin America. This article argues that lasting patterns of economic and political segmentation of workers arose earlier in the region's history than has previously been understood, well before the classic "incorporation" period. Late-nineteenth-century practices for the recruitment and retention of workers shaped Latin America's first sets of labor laws, most notably those governing union organization and individual worker job stability. Subsequently, these first laws served as important templates for development, constraining and conditioning the labor codes adopted under mass-based politics. Using historical data drawn from Chile, Peru, and Argentina, this article shows how differing recruitment practices and variation in the extension of effective suffrage rights and electoral participation shaped early legal labor market segmentation and inequality in Latin America. © 2014 University of Miami.</t>
  </si>
  <si>
    <t>10.1111/j.1548-2456.2014.00233.x</t>
  </si>
  <si>
    <t>Caro, Pamela; Cárdenas, María Elvira</t>
  </si>
  <si>
    <t>Entramados de la precariedad del trabajo (productivo y reproductivo) de mujeres migrantes en la fruticultura del valle central de Chile</t>
  </si>
  <si>
    <t>Precariousness; Productive work; Reproductive work; Intersectionality; Migration: Seasonal fruit workers</t>
  </si>
  <si>
    <t>Abstract Seeking to delve into the field of rural studies, work, gender and migration, from an overlapping and intersectional perspective, this article is aimed at understanding the framework and interstices that arise between the precariousness of productive salaried fruit work, in its relationship with the reproductive work of migrant women who work as seasonal workers in the Rapel Valley of the O´Higgins region, in Chile. To do this, 10 interviews conducted between November 2021 and June 2022 with Bolivian, Haitian and Peruvian migrant workers, settled in rural towns of the Las Cabras commune, were analyzed under the qualitative paradigm, from the notions of objective and subjective precariousness, and a concept broad range of work, which includes paid work such as domestic work and unpaid care. It is concluded that the global precarious condition of the life of temporary migrants, when considering both works articulately, focuses on the concern for the vulnerability of the exercise of the maternal role.-face-to-face or at a distance; material and subjective-, based on the centrality of the sacrificial spirit typical of the traditional feminine mandate; also accounting for the normalization of job insecurity, exacerbated by the exploitation exercised by the figure of the agricultural contractor in conditions of precarious migration.</t>
  </si>
  <si>
    <t>28</t>
  </si>
  <si>
    <t>10.51188/rrts.num28.695</t>
  </si>
  <si>
    <t>Carraro V.; Kelly S.; Vargas J.L.; Melillanca P.; Valdés-Negroni J.M.</t>
  </si>
  <si>
    <t>Undoing disaster colonialism: a pilot map of the pandemic's first wave in the Mapuche territories of Southern Chile</t>
  </si>
  <si>
    <t>Disaster Prevention and Management: An International Journal</t>
  </si>
  <si>
    <t>Chile; Colonialism; COVID-19; Disaster studies; Mapping; Mapuche; ndigenous people</t>
  </si>
  <si>
    <t>Purpose: The authors use media research and crowdsourced mapping to document how the first wave of the pandemic (April–August 2020) affected the Mapuche, focussing on seven categories of events: territorial control, spiritual defence, food sovereignty, traditional health practices, political violence, territorial needs and solidarity, and extractivist expansion. Design/methodology/approach: Research on the effects of the pandemic on the Mapuche and their territories is lacking; the few existing studies focus on death and infection rates but overlook how the pandemic interacts with ongoing processes of extractivism, state violence and community resistance. The authors’ pilot study addresses this gap through a map developed collaboratively by disaster scholars and Mapuche journalists. Findings: The map provides a spatial and chronological overview of this period, highlighting the interconnections between the pandemic and neocolonialism. As examples, the authors focus on two phenomena: the creation of “health barriers” to ensure local territorial control and the state-supported expansion of extractive industries during the first months of the lockdown. Research limitations/implications: The authors intersperse our account of the project with reflections on its limitations and, specifically, on how colonial formations shape the research. Decolonising disaster studies and disaster risk reduction practice, the authors argue, is an ongoing process, bound to be flawed and incomplete but nevertheless an urgent pursuit. Originality/value: In making this argument, the paper responds to the Disaster Studies Manifesto that inspires this special issue, taking up its invitation to scholars to be more reflexive about their research practice and to frame their investigations through grounded perspectives. © 2021, Emerald Publishing Limited.</t>
  </si>
  <si>
    <t>10.1108/DPM-03-2021-0106</t>
  </si>
  <si>
    <t>Carrasco, Anita</t>
  </si>
  <si>
    <t>Place, Violence, and Resistance: Impacts of Mining in the Chilean Andes</t>
  </si>
  <si>
    <t>LATIN AMERICAN PERSPECTIVES</t>
  </si>
  <si>
    <t>Place; Slow violence; Mining impacts; Water; Chile</t>
  </si>
  <si>
    <t>The indigenous community of Estacion San Pedro has turned a sense of place into an act of resistance to the impacts of mining on its homeland in the Chilean Andes. In 2007 San Pedrinos wrote to the headquarters of Chile's National Copper Corporation claiming compensation for historical dispossession of water, forced migration from their homeland, and the disintegration of their traditional way of life. San Pedrinos continue to return to their homeland despite the mining corporation's historical attempts to obliterate them. La comunidad indigena de Estacion San Pedro ha convertido su sentido de lugar en un acto de resistencia ante los impactos de la mineria en su tierra natal, localizada en los Andes chilenos. En 2007, los san pedrinos escribieron a la sede de la Corporacion Nacional del Cobre de Chile exigiendo una compensacion por el despojo historico de agua, la migracion forzada de su lugar natal y la desintegracion de su forma de vida tradicional. Los san pedrinos continuan regresando a su tierra natal a pesar de los intentos historicos de la corporacion minera por destruirlos.</t>
  </si>
  <si>
    <t>10.1177/0094582X221124921</t>
  </si>
  <si>
    <t>Carreno, Gaston</t>
  </si>
  <si>
    <t>From the Philippines to the Atacama Coasts. The case of the Changuita. Representation and iconographic migration in the photography of indigenous peoples</t>
  </si>
  <si>
    <t>photography; representation; indigenous; Atacama; Philippines</t>
  </si>
  <si>
    <t>In the following work, a photograph induded in a book on the Chilean Armed Forces (1928) is analy-zed, in which a woman from the Chango ethnic group is allegedly portrayed. However, it corresponds to an indigenous woman from the Philippines, an image that was published in a text from 1906 and later in 1913. For all of the above, we are facing a case of iconographic migration, that is, when a representation of a certain indigenous people presents different cultural ascriptions depending on the iconographic context in which it is incorporated.The article will present the route of this research, which begins with the comparison between this photograph and previous iconography associated with the chango (engravings and drawings), going through a museum appropriation process, until reaching the original image, made in the framework of an ethnographic study, at a time when the Philippines became a colony of the USA.</t>
  </si>
  <si>
    <t>e4461</t>
  </si>
  <si>
    <t>10.22199/issn.0718-1043-2022-0005</t>
  </si>
  <si>
    <t>Carriel V.; Pérez-Trujillo M.; Lufin M.; Atienza M.</t>
  </si>
  <si>
    <t>The impact of long-distance commuting on salaries and employment in host regions in Chile</t>
  </si>
  <si>
    <t>Journal of Regional Science</t>
  </si>
  <si>
    <t>employment; long distance commuting; wage</t>
  </si>
  <si>
    <t>Long-distance commuting (LDC) is an increasingly relevant strategy of labor mobility worldwide and is therefore key to understanding the structure and dynamics of labor markets. However, little is known about the effect that LDC has on the labor market equilibrium of host territories. This paper addresses this gap for the case of Chile. While LDC is a useful strategy for improving salary and employment on a national scale, our results show a negative effect for residents in host territories (on a local scale), particularly when LDC results in commuters with similar characteristics to residents competing for the same jobs. © 2023 Wiley Periodicals LLC.</t>
  </si>
  <si>
    <t>10.1111/jors.12678</t>
  </si>
  <si>
    <t>ANNALS OF REGIONAL SCIENCE</t>
  </si>
  <si>
    <t>Carroza Escobar, Maria Begona; Silva, Nicole; Ortiz-Contreras, Jovita; Villegas, Rodrigo; Vargas, Sergio L.; Nunez, Claudio; Maldonado, Luis Felipe Vergara; Villanueva, Loreto Paola</t>
  </si>
  <si>
    <t>Immigration and C-sections incidence: Maternal care and perinatal outcomes in the context of the pandemic in Chile</t>
  </si>
  <si>
    <t>FRONTIERS IN GLOBAL WOMENS HEALTH</t>
  </si>
  <si>
    <t>COVID; immigrant women; cesarean sections; maternal care; pregnancy; perinatal outcomes</t>
  </si>
  <si>
    <t>Introduction: Immigration has increased significantly in Chile. Despite that all pregnant women, regardless of nationality and immigration status, have the right to access to all healthcare services during pregnancy, childbirth, and postpartum, inequities in health care outcomes and health provision have been reported. During COVID-19 pandemic, these inequities are completely unknown.Objective: The aim of this study was to compare the incidence of c-sections according to mother's migration status, as well as other maternal care and perinatal outcomes in women giving birth at San Jose Hospital in Santiago, Chile, during the COVID-19 pandemic.Methods: A retrospective cohort study was designed including 10,166 registered single births at the San Jose Hospital between March 2020 and August 2021. To compare between groups, statistical tests such as Chi-square and Fisher's exact were used. Log Binomial regression models were performed adjusted for potential confounding variables. To estimate the strength of association the relative risk was used.Results: Immigrant mothers account for 48.1% of the registered births. Compared to non-immigrant women, immigrants exhibit a higher proportion of c-section, specifically, emergency c-section (28.64% vs. 21.10%; p-value &lt; 0.001) but a lower proportion of and having a preterm birth (8.24% vs. 13.45%; p &lt; 0.05), receiving personalized childbirth care (13.02% vs. 14.60%; p-value &lt; 0.05), companion during labor and childbirth (77.1% vs. 86.95%; p-value &lt; 0.001), And postpartum attachment to newborn (73% vs. 79.50%; p-value &lt; 0.001). The proportion of COVID exposure was not significant between groups, not the severity also. Haitians had a highest risk of undergoing emergency c-section (aRR = 1.61) and Venezuelans had a highest risk of elective c-section (aRR = 2.18) compared to non-immigrants.Conclusion: This study reports high rates of c-sections in the entire population, but in immigrant populations it is even higher. Additionally, it found gaps in maternal care and perinatal outcomes between immigrants and non-immigrants. More studies are needed to elucidate the possible causes of these differences and establish new regulations to protect the reproductive rights of the immigrant population.</t>
  </si>
  <si>
    <t>10.3389/fgwh.2023.1267156</t>
  </si>
  <si>
    <t>Carte, Lindsey</t>
  </si>
  <si>
    <t>Mexican bureaucrats and the everyday restriction of transnational migration in a context of scarcity</t>
  </si>
  <si>
    <t>TERRITORY POLITICS GOVERNANCE</t>
  </si>
  <si>
    <t>restriction; scarcity; Central American migrants; migration policy</t>
  </si>
  <si>
    <t>Mexican bureaucrats and the everyday restriction of transnational migration in a context of scarcity. Territory, Politics, Governance. Examining the everyday practices of the state is crucial to our understanding of the multiple ways that governments regulate transnational migration. While geographers have increasingly focused on these practices at a broad, institutional scale and in sites in the Global North, less attention has been given to the mundane and often unseen processes of regulation and restriction that take place beyond physical borders and outside of the formal spaces and practices of the state immigration apparatus in the Global South. This article draws on ethnographic research to understand the contexts in which low-level officials and bureaucrats' practices of policy implementation with the Central American immigrant community in the Mexico-Guatemala border city of Tapachula unfold. It explores how institutional contexts and conditions shape officials' restrictive actions. In particular, it focuses on conditions of material and resource scarcity and how this connects to poor service provision. I argue that officials' actions occur within a complex context in which neoliberal scarcity prevails alongside pressure to increase productivity and long-held, practices. These factors entangle to create spaces that allow everyday restriction to flourish.</t>
  </si>
  <si>
    <t>10.1080/21622671.2017.1306458</t>
  </si>
  <si>
    <t>Carte, Lindsey; Radel, Claudia; Schmook, Birgit</t>
  </si>
  <si>
    <t>Subsistence migration: Smallholder food security and the maintenance of agriculture through mobility in Nicaragua</t>
  </si>
  <si>
    <t>GEOGRAPHICAL JOURNAL</t>
  </si>
  <si>
    <t>El Salvador; food security; Nicaragua; small-scale agriculture; south-south migration</t>
  </si>
  <si>
    <t>Research on Central American migration has revealed the importance of journeys to the global North for rural sending communities. The outcomes of south-south journeys to nearby countries are less explored, although they are commonplace. We examine Nicaraguan rural residents' migration to other Central American countries, especially El Salvador, to understand this migration's impacts on agricultural systems and food security. Based on mixed-methods fieldwork in north-western Nicaragua, we find that rather than produce remittance landscapes, or an abandonment of agriculture, south-south migration is linked to the maintenance of small-scale agricultural systems and thus food production. Subsistence migration, or mobility to maintain small-scale agriculture as a food security strategy, draws attention to how these less explored forms of migration in Central America help families to persist in agriculture in a context of worsening environmental and structural conditions.</t>
  </si>
  <si>
    <t>10.1111/geoj.12287</t>
  </si>
  <si>
    <t>Carter-Thuillier B.; López-Pastor V.; Gallardo-Fuentes F.; Ojeda-Nahuelcura R.; Carter-Beltran J.</t>
  </si>
  <si>
    <t>Incorporating intercultural competence in pre-service teacher education: Examining possibilities for Physical Education in the southern macro-zone of Chile; [Incorporar la competencia intercultural en la formación docente: examinando posibilidades para Educación Física en la macrozona sur de Chile]</t>
  </si>
  <si>
    <t>Retos</t>
  </si>
  <si>
    <t>Chile; Cultural Diversity; Emigration e Immigration; Intercultural Competence; Physical Education; Pre-service Teacher Education</t>
  </si>
  <si>
    <t>In Chile, the volume of foreign students has reached historic levels over the last decade, creating new challenges for teacher training. Especially in the southern macro-zone of the country, where immigration has brought new identities to a territory historically marked by cultural diversity (due to the presence of the Mapuche ethnicity, the processes of colonisation, etc.), transforming schools into even more plural and complex spaces. Considering this scenario, it seems logical to focus on the training of Physical Education (PE) specialists who have the necessary competences to work in contexts of cultural diversity with a migrant presence. However, the evidence suggests that the universities located in the southern macro-zone of Chile do not incorporate «intercultural competence» in the training itineraries of future PE teachers; a fact that is inconsistent, given the historical characteristics of this territory and the educational changes that the migratory phenomenon has generated in this context. In view of the above, the aim of this article is to examine the possible incorporation of intercultural competence in the initial training of PE teachers in universities in the southern macro-zone of Chile. To this end, different theoretical and empirical backgrounds are reviewed, from which the need to move towards a teacher training that is consistent with the socio-cultural characteristics of the environment and capable of preparing specialists committed to safeguarding diversity, social justice and human dignity becomes evident.  © Copyright: Federación Española de Asociaciones de Docentes de Educación Física (FEADEF).</t>
  </si>
  <si>
    <t>10.47197/retos.v43i0.88416</t>
  </si>
  <si>
    <t>Carter-Thuillier, Bastian; Lopez-Pastor, Victor; Gallardo-Fuentes, Francisco; Carter-Beltran, Juan; Fernandez-Balboa, Juan-Miguel; Delgado-Floody, Pedro; Grimminger-Seidensticker, Elke; Sortwell, Andrew</t>
  </si>
  <si>
    <t>After-school sports programmes and social inclusion processes in culturally diverse contexts: Results of an international multicase study</t>
  </si>
  <si>
    <t>FRONTIERS IN PSYCHOLOGY</t>
  </si>
  <si>
    <t>social inclusion; immigrant students; Mapuche; after-school programmes; sports programmes; ethnic groups</t>
  </si>
  <si>
    <t>This research aimed to understand the role of after-school sports programs in social inclusion processes in culturally diverse contexts through a multicase study within two locations. The first location was in Spain where immigrant and Spanish students were enrolled, and the other was in Chile with Mapuche-Huilliche students, immigrant and Chilean students. The implemented programs at both sites were similar in their educational focus on socio-educational values, and teaching models (hybridization of teaching games for understanding and cooperative learning) that enhance social inclusion. Using individual and group interviews with teachers, sports coordinators, parents, and students, a qualitative approach was used to identify the factors that facilitate or hinder the social inclusion processes. In addition, the researchers used qualitative observations of the programs over six months using notes logbook to record their impressions during the observation process. Results indicated that the implemented sports programs successfully facilitated social inclusion processes, enabling the development of interpersonal skills and relationships between students from different cultural backgrounds. The previous training and experiences of teachers in culturally diverse contexts, and incorporation of traditional sporting games from all cultures, seems to be an important facilitator factor for the inclusion potential of the implemented programs.</t>
  </si>
  <si>
    <t>10.3389/fpsyg.2023.1122362</t>
  </si>
  <si>
    <t>Carvacho, Hector</t>
  </si>
  <si>
    <t>Ideological Configurations and Prediction of Attitudes toward Immigrants in Chile and Germany</t>
  </si>
  <si>
    <t>INTERNATIONAL JOURNAL OF CONFLICT AND VIOLENCE</t>
  </si>
  <si>
    <t>The concept of ideological configuration is proposed to refer to a complex of ideological attitudes - Right-Wing Authoritarianism (RWA) and Social Dominance Orientation (SDO) - based on a shared core of derogation of outgroups. This concept is used in two surveys, in Chile and in Germany, to predict attitudes toward foreigners. Analyses using structural equation modeling (SEM) showed that a second-order factor involving RWA and SDO predicts hostility toward foreigners in Germany and affection toward Peruvian and Argentinean immigrants in Chile. This prediction was stronger in Germany than in Chile. The difference in strength is discussed in terms of the kind of measurements, different contexts of migration, and characteristics of the immigrants. Further research using the concept of ideological configuration is proposed.</t>
  </si>
  <si>
    <t>Carvajal Muñoz P.M.; Herrera Tapias B.; Palencia Ramos E.A.; Peréz Núñez M.; Vera Carrera J.</t>
  </si>
  <si>
    <t>Public policies implemented by the Colombian state for the integration of Venezuelan migrants; [Políticas públicas puestas en ejecución por el estado Colombiano para la integración de los migrantes Venezolanos]</t>
  </si>
  <si>
    <t>Justicia (Barranquilla)</t>
  </si>
  <si>
    <t>migration; nationality; public policies; Venezuelan migrants</t>
  </si>
  <si>
    <t>Migration is a phenomenon that has been studied constantly today, its interest is fundamentally that it is suffered by thousands of people who, seeking to satisfy their basic needs, decide to go to other latitudes. The main cause of the exodus are the institutional crises derived from government policies and economic measures that generate a detriment to society. Venezuela has recently become the benchmark for mass migration. Consequently, countries like Colombia have designed public policies aimed at regularizing migration through the issuance of national and local decrees, in addition to constitutional court rulings, to guarantee their permanence, access to health, education and nationality. In this sense, this article addresses this panorama from a legal, social and political perspective. The methodology is historical retrospective, the approach is qualitative, of the field documentary type; Consequently, its study is limited to the municipality of Sabanalarga-Atlántico, as it is a recipient of migrants with and without roots. © 2020 by autores.</t>
  </si>
  <si>
    <t>10.17081/just.26.40.5306</t>
  </si>
  <si>
    <t>Castaño F.J.G.; Fernández R.L.; Thamm M.</t>
  </si>
  <si>
    <t>Subjects and territories in the anthropological study of migration in Spain; [Sujetos y territorios en el estudio de las migraciones desde la antropología en España]</t>
  </si>
  <si>
    <t>Quaderns de l'Institut Catala d'Antropologia</t>
  </si>
  <si>
    <t>Anthropology; Doctoral theses; Methodology; Migration; Research; Spain</t>
  </si>
  <si>
    <t>This article examines the incorporation into Spanish anthropology of migration as a field of study, exploring the extent to which Spanish social anthropology locates Otherness in the immigrant: a way of anthropologizing a study without leaving home. A brief description of how anthropological research in Spain constructs migration as a field of study through an overview of doctoral theses defended in the social anthropology departments of Spanish universities in recent years shows the topics studied, grouping them thematically. They are then analyzed according to how the subjects of these studies are represented (and sometimes turned into objects of study) in the stated aims of the theses analyzed, and the emphasis placed on the geographic locations in which the studies were carried out. © QUADERNS-E DE L'ICA .</t>
  </si>
  <si>
    <t>Castillo G.; Brereton D.</t>
  </si>
  <si>
    <t>Large-scale mining, spatial mobility, place-making and development in the Peruvian Andes</t>
  </si>
  <si>
    <t>Sustainable Development</t>
  </si>
  <si>
    <t>Andes; family networks; migration; mining; sustainable development</t>
  </si>
  <si>
    <t>This paper focuses on population mobility dynamics in and around mining areas in the Peruvian Andes. We use a case study of Rio Tinto's La Granja exploration project in Cajamarca Region to highlight the complexity and fluidity of the population movements around that project and the significant level of agency exercised by local people, as well as how people have been impacted by corporate decisions. We argue that, far from being a relatively static system of social and production relationships, the Andes has long been a place of movement, where individuals and families have used a broad range of mobility strategies to improve their economic well-being and mitigate the impact of external shocks. In the case of La Granja, the use of such strategies has helped local people to cope with variations in the level of project activity, maintain a connection with the area (even while living outside of it), and to access project-related benefits such as jobs and compensation payments. At some points in the history of the project, corporate decisions and actions have had a clearly deleterious impact on the local community. However, in more recent times the project also revitalised La Granja as a place, at least for a time, and created new opportunities for individuals and families. In the final section of the paper, we address some broader questions about the role that spatial mobility and family networks can play in diffusing the impacts and benefits of mining projects. © 2018 John Wiley &amp; Sons, Ltd and ERP Environment</t>
  </si>
  <si>
    <t>10.1002/sd.1891</t>
  </si>
  <si>
    <t>Castillo-Peña J.</t>
  </si>
  <si>
    <t>Expectations and post-secondary educational trajectories of young people from rural areas in Chile. A human development perspective; [Expectativas y trayectorias educativas postsecundarias de jóvenes de territorios rurales en Chile. Una mirada desde el desarrollo humano]</t>
  </si>
  <si>
    <t>REVISTA IBEROAMERICANA DE EDUCACION SUPERIOR</t>
  </si>
  <si>
    <t>Chile; Higher education; Rural education; School trajectory</t>
  </si>
  <si>
    <t>This article analyzes the relationship between education and territory with regard to the differences in the aspirations and university educational trajectories of adolescents from urban and rural educational centers, and the strategies designed by these centers to solve the lack of opportunities in their environment. For this purpose, the human development approach is used as a theoretical frame of reference and, methodologically, the analysis of educational trajectories. The results show that the expectation of completing a university degree has increased among rural students, which reduces the expectations gap in relation to those of students from large urban conglomerates. However, the transition to university keeps being discriminatory. Migration emerges as the main strategy in rural territories, which is perceived as necessary, although it implies a high economic and emotional cost. © 2021 Universidad Nacional Autonoma de Mexico. All rights reserved.</t>
  </si>
  <si>
    <t>10.22201/iisue.20072872e.2021.34.983</t>
  </si>
  <si>
    <t>Castillo, Juan Carlos; Bonhomme, Macarena; Miranda, Daniel; Iturra, Julio</t>
  </si>
  <si>
    <t>Social cohesion and attitudinal changes toward migration: A longitudinal perspective amid the COVID-19 pandemic</t>
  </si>
  <si>
    <t>FRONTIERS IN SOCIOLOGY</t>
  </si>
  <si>
    <t>migration; social cohesion; conviviality; threat; identity; Chile; COVID-19; South-South migration</t>
  </si>
  <si>
    <t>The COVID-19 pandemic has impacted social interactions and coexistence around the globe in dimensions that go far beyond health issues. In the case of the Global South, the pandemic has developed along with growing South-South migratory movements, becoming another key factor that might reinforce social conflict in increasingly multicultural areas as migrants have historically served as scapegoats for unexpected crises as a way to control and manage diversity. Chile is one of the main destination countries for migrants from the Latin American and Caribbean region, and COVID-19 outbreaks in migrant housing have intensified discrimination. In such a context, there is a need for understanding how the pandemic has potentially changed the way non-migrants perceive and interact with migrant neighbors. Drawing on the national social cohesion panel survey study ELSOC (2016-2021, N = 2,927) the aim is to analyze the changes in non-migrants' attitudes toward migrants-related to dimensions of social cohesion-over the last years and their relation with individual status and territorial factors. We argue that social cohesion in increasingly multicultural societies is partially threatened in times of crisis. The results indicate that after the pandemic, convivial attitudes toward Latin American migrants decreased. Chileans started perceiving them more negatively, particularly those respondents with lower educational levels and who live in increasingly multicultural neighborhoods with higher rates of migrant residents.</t>
  </si>
  <si>
    <t>10.3389/fsoc.2022.1009567</t>
  </si>
  <si>
    <t>Catalan Hidalgo, Rene</t>
  </si>
  <si>
    <t>Commercial gentrification in the context of super-diversity? The transformation of local streets shops in Santiago de Chile, downtown and pericenter</t>
  </si>
  <si>
    <t>REVISTA DE URBANISMO</t>
  </si>
  <si>
    <t>gentrification; commercial gentrification; migration; super-diversity; urban transformation</t>
  </si>
  <si>
    <t>This research focuses on the material transformations of the local street shops in Santiago de Chile downtown and pericenter. Its focus is on the joint process of commercial gentrification and super-diversity, which can configure the specific geography of the transformation that gentrification is producing in Santiago. Two analytical tools are used: firstly, a Gentrification Potential Indicator for selecting the areas with the highest gentrification potential. Subsequently, a visual analysis allows us to understand the recent transformations of local street shops. Six trends that have been transforming local street shops were identified. These changes express the joint effect of commercial gentrification and superdiversity and show the particular character of the urban transformation that Santiago is undergoing and provide a different perspective for the study of gentrification in Santiago.</t>
  </si>
  <si>
    <t>10.5354/0717-5051.2020.54281</t>
  </si>
  <si>
    <t>CATAÑO MENA, INGRID; ANDRADE JARAMILLO, VERÓNICA</t>
  </si>
  <si>
    <t>Condiciones laborales y transformaciones en significados del trabajo en inmigrantes profesionales colombianos en Rancagua, Chile</t>
  </si>
  <si>
    <t>Psicología desde el Caribe</t>
  </si>
  <si>
    <t>Migration; Meanings of Work; professionals; Colombia; Chile</t>
  </si>
  <si>
    <t>Abstract The objective of this research was to study the relationship between the working conditions and transformations in the meanings of work in Colombian migrant professionals of Rancagua (Chile), explained from Siegrist's effort-reward imbalance model, and the theory of the two hygienic and motivational factors exposed by Herzberg and collaborators. A qualitative investigation was carried out through semi-structured interviews with seven participants, with biographical narrative design, analyzed through narrative lines and life stories. It was found that the meanings are configured according to the working conditions offered by each work context, whether it is the country of origin or destination. The meanings of the participants varied in the centrality which became relative, the expansion and reinforcement of labor rights and duties, and the strengthening of labor values (desired aspects at work) related to better working conditions and quality of life. Work went from being conceived mainly as a source of subsistence to being a source of personal growth and fulfillment. Further research is suggested with a larger number of participants as well as from a quantitative perspective in order to enhance working conditions within the colombian territory and safeguard the talent drain to job markets with greater conditions.</t>
  </si>
  <si>
    <t>10.14482/psdc.38.2.15</t>
  </si>
  <si>
    <t>Caterine Galaz, V.; Alvarez, Catalina; Hedrera, Luciana; Maria Becerra, Margarita</t>
  </si>
  <si>
    <t>Psychosocial Interventions and Their Effects on the Trajectory of Immigrant Women in Chile</t>
  </si>
  <si>
    <t>immigration; narrative productions; psychosocial intervention; gender; social inclusion</t>
  </si>
  <si>
    <t>Part of the analysis on migration in Chile focuses on immigrant subjects and their level of inclusion in different social spheres. Therefore we turn our eyes towards psychosocial intervention: from a feminist perspective, we look at the ways interventions act and generate psychosocial effects and the line of flight (Deleuze &amp; Guattari, 1988/2012) that escapes hegemonic practices. For this, a set of Narrative Productions was carried out with interveners and users, which through a process of figuration, made it possible to understand the multiple bridges of opening, closure and contradiction that overlap in the trajectories of immigrant women and their passage through civil and public services.</t>
  </si>
  <si>
    <t>10.11144/Javeriana.upsy16-5.ipet</t>
  </si>
  <si>
    <t>Caudwell J.; Choe J.; Dickinson J.E.; Lavrushkina N.; Littlejohns R.</t>
  </si>
  <si>
    <t>‘Multicultural lunches’: sharing food in post-Brexit south coast of England</t>
  </si>
  <si>
    <t>Annals of Leisure Research</t>
  </si>
  <si>
    <t>community; Food; leisure; migration; refugees; sharing</t>
  </si>
  <si>
    <t>Food can be considered a substance that brings people together through its material and sensuous qualities, through affecting shared memories of people and place, and through traditions of hospitality. It is a human necessity with multiple levels of communal understanding, and conviviality. Currently, much of the UK faces the fragmentation of communities based on closely divided political views. In this case, conflicting feelings related to Brexit, migration and refugees. This paper offers a qualitative analysis of a series of ‘multicultural lunches’–named and organized by a local equality advocacy charity and partner volunteer organizations. The multicultural lunches took place in 2017. Drawing from 13 semi-structured interviews and 6 participant observations we provide detailed discussion that links food with leisure and community. Analysis of the findings illustrates the nature of local response to broader societal fragmentation and conflict, and offers discussion of the value of food to community development. © 2019 Australia and New Zealand Association of Leisure Studies.</t>
  </si>
  <si>
    <t>10.1080/11745398.2019.1568892</t>
  </si>
  <si>
    <t>Caulkins M.; Choque-Caseres D.; Alarcón-González M.-V.</t>
  </si>
  <si>
    <t>Exploring the relationship between urban planning and Indigenous Peoples in Chilean urban areas; [Explorando la relación entre planificación urbana y Pueblos Indígenas en áreas urbanas chilenas]</t>
  </si>
  <si>
    <t>human settlements; urban imaginary; urban planning</t>
  </si>
  <si>
    <t>The founding, planning and management of Chilean cities played a preponderant role in the colonization of Indigenous Peoples and their territories, while today the participation of these Indigenous Peoples in Chilean urban planning is restricted to indigenous consultations triggered by Studies of Environmental Impact and approval of Municipal Regulatory Plans. This study analyzes how urban planning is related to Indigenous Peoples in Chilean urban areas in three case studies. The results point to the insufficient incorporation of the condition of peoples of the native populations in urban planning, having denied them effective participation in the formulation, application, and evaluation of those plans likely to affect them directly. The need for a better framework for the analysis of this relationship is suggested, materialized as a “contact zone” where different spatial-legal worlds meet. © 2023, Revista de Geografia Norte Grande. All rights reserved.</t>
  </si>
  <si>
    <t>10.7764/eure.49.148.01</t>
  </si>
  <si>
    <t>Cavagnoud, Robin; Carbajal, Myrian; Stefoni, Carolina; Ramirez, Carolina</t>
  </si>
  <si>
    <t>Care and Transnational Families: Perspectives from Older Adults, Mothers, and Fathers of Peruvian Emigrants</t>
  </si>
  <si>
    <t>International migrations; older adults; families; gender; trans-national care; self-care; COVID-19; Peru</t>
  </si>
  <si>
    <t>This article explores the organization of transnational care provided to older people whose one of their children lives abroad. Based on interviews conducted mainly with older mothers, it analyses the articulation between care received locally and at long distance, the practices they provide to care for family members, and their self-care activities to support themselves in an &lt;&lt; independent &gt;&gt; old age. The findings confirm the central role of families and, particularly of women, in ensuring a welfare regime for the older adult population and mitigate the effects of social unprotection.</t>
  </si>
  <si>
    <t>10.21678/apuntes.95.1832</t>
  </si>
  <si>
    <t>Cazzuffi, Chiara</t>
  </si>
  <si>
    <t>Internal migration in Chile and mental health in migrant-sending communities</t>
  </si>
  <si>
    <t>POPULATION SPACE AND PLACE</t>
  </si>
  <si>
    <t>internal migration; mental health; migrant-sending communities</t>
  </si>
  <si>
    <t>Empirical research on migration has mostly concentrated on its economic impacts, with growing but limited focus on its mental health impacts in migrant-sending communities. Existing studies mainly concentrate on the mental health of remaining household members, mostly establishing cross-sectional correlations, with mixed findings depending on individual and contextual characteristics. Studies that address potential endogeneity are few and tend to find no significant causal impact of migration on the mental health of remaining family members. However, migration may affect not only the remaining household members but also the entire sending community by changing its demographic, social and economic composition. The aim of this paper is to analyse the overall impact of migration on the mental health of sending communities, considering both the impact of having a migrant family member and of living in a community experiencing net emigration. The paper addresses potential endogeneity through an instrumental variable approach, controlling for confounding factors and examines mental health outcomes beyond depression and stress, assessing also psychosocial difficulties and self-efficacy. It uses nationally representative data from the 2017 National Health Survey in Chile, a country characterised by high internal mobility, significant mental health issues and concentration of mental healthcare provision in large urban centres. The study finds that living in net emigration municipalities increases the probability of experiencing a major depressive episode, psychosocial difficulties and low self-efficacy. Results are robust to controlling for endogeneity using past migration rates as an instrument for current migration rates. These findings suggest that smaller, net emigration communities require policy attention, and in particular better mental healthcare provision, to avoid increasing the prevalence of mental health problems and the treatment gap between larger and smaller communities in Chile.</t>
  </si>
  <si>
    <t>10.1002/psp.2737</t>
  </si>
  <si>
    <t>Cela, Toni; Fidalgo, Mário; Marcelin, Louis Herns</t>
  </si>
  <si>
    <t>The COVID-19 Pandemic and Haiti's Changing Remittance Landscape</t>
  </si>
  <si>
    <t>Revista Relaciones Internacionales</t>
  </si>
  <si>
    <t>Brazil; Chile; COVID-19; Haiti; South-South migration; remittances</t>
  </si>
  <si>
    <t>ABSTRACT In 2020, analyses from multilateral institutions predicted that the COVID-19 pandemic would hamper remittance transfers to the Latin America and Caribbean region; yet they showed steady increases in 2020 and 2021. Haiti's remittance economy has largely maintained its vitality, helping families weather multiple crises. Drawing on data from a study of the impact of COVID-19 on Haitian households and remittance data from Haiti's Central Bank, this article examines Haiti's changing remittance landscape, with particular attention paid to new migratory flows to Latin America that have emerged since the January 2010 earthquake. Considering the increase in migration to Brazil and Chile, among other countries, between 2010 and 2020, we ask, what role have remittances from South America played in Haitian households leading up to and during the COVID-19 pandemic?</t>
  </si>
  <si>
    <t>10.15359/ri.95/2.6</t>
  </si>
  <si>
    <t>Celhay P.; Undurraga R.</t>
  </si>
  <si>
    <t>Location Preferences and Slums Formation: Evidence from a Panel of Residence Histories</t>
  </si>
  <si>
    <t>Regional Science and Urban Economics</t>
  </si>
  <si>
    <t>Housing; Location preferences; Residential panel; Slums; Trade-off game</t>
  </si>
  <si>
    <t>Slum dwellers may decide to live in slums due to location preferences, even though they have access to subsidized housing in the city outskirts. We examine this hypothesis by studying the evolution of location choices across slum and subsidized housing dwellers, for which we construct a panel of residential trajectories that spans between 1960 and 2008 in Santiago, Chile. While slum and subsidized housing dwellers are born in municipalities with statistically comparable levels of wealth, labor force participation, and share located in the inner urban zone, we find that slum dwellers are more likely to end up living in municipalities located in the inner city, with lower poverty levels, and higher levels of labor force participation. Consequently, employment rates among slum dwellers are significantly higher. Still, slum dwellers show inferior housing. From a revealed preferences approach, this result suggests that slum dwellers are willing to consume lower quality housing for geographical access to better labor opportunities. We further examine this hypothesis by using a trade-off game designed to elicit stated-preferences for location (relative to housing) and find that, consistent with their revealed preferences for location, slum dwellers are significantly more likely to prioritize location quality over housing quality than their subsidized housing counterparts. Overall, our results suggest that location preferences play a non-negligible role in slums formation. © 2022</t>
  </si>
  <si>
    <t>10.1016/j.regsciurbeco.2022.103816</t>
  </si>
  <si>
    <t>Cercel C.</t>
  </si>
  <si>
    <t>The persistence and malleability of settlerness: Danube Swabians in Entre Rios/Guarapuava (Paraná, Brazil)</t>
  </si>
  <si>
    <t>Immigrants and Minorities</t>
  </si>
  <si>
    <t>Brazil; Danube Swabians; ethnicity; migration; settler colonial studies; settlerness</t>
  </si>
  <si>
    <t>This article interrogates and contextualises the settler identification discourses related to Danube Swabians in Entre Rios/Guarapuava in southern Brazil (Paraná). It looks into the origins of Danube Swabian ‘settlerness’, asking why does it play a central role in Danube Swabian identity constructions in Brazil (but also beyond), and how has it changed over time. It follows settlerness as a thread from before the migration to Entre Rios up to the present, fleshing out its meanings and emphasising the persistence as well as the malleability of settler tropes. Discussing Danube Swabians in Brazil, the article pleads for a general critical analysis of the entanglements connecting apparently disparate spaces, such as southeastern Europe and southern Brazil, within a global history of settler colonialism, settler migration, and settler imaginations. Moreover, in engaging with the category ‘settlerness’ - as a category of practice as well as one of analysis–it shows some of the gains and limitations of the theorisations pertaining to settler colonial studies. © 2023 Informa UK Limited, trading as Taylor &amp; Francis Group.</t>
  </si>
  <si>
    <t>1-3</t>
  </si>
  <si>
    <t>10.1080/02619288.2023.2216683</t>
  </si>
  <si>
    <t>Ceriani L.; Verme P.</t>
  </si>
  <si>
    <t>Population Changes and the Measurement of Inequality</t>
  </si>
  <si>
    <t>Social Indicators Research</t>
  </si>
  <si>
    <t>Bottom incomes; Income distributions; Income inequality; Migration; Top incomes</t>
  </si>
  <si>
    <t>Population changes in countries with little natural growth tend to occur via migration channels and among poorer individuals such as refugees and economic migrants, or richer individuals such as international white collar workers or global entrepreneurs. These migratory flows are increasing in size, they are difficult to capture in censuses and surveys, and they potentially bias the measurement of inequality. This paper provides a formal treatment of the impact of population changes on the measurement of inequality when changes occur to the extremes of an income distribution. It provides the conditions under which inequality is expected to increase or decrease and determines the relative importance of including or excluding selected observations at the top or at the bottom. An application to US data illustrates the mathematical results and shows that including or excluding observations from the extremes can bias the measurement of inequality significantly. © 2021, The Author(s), under exclusive licence to Springer Nature B.V.</t>
  </si>
  <si>
    <t>10.1007/s11205-021-02849-7</t>
  </si>
  <si>
    <t>Cerna, Cristhian; Munoz, Wilson</t>
  </si>
  <si>
    <t>MOBILITY, KINSHIP AND IDENTIFICATION IN THE CODPA VALLEY, NORTHERN CHILE</t>
  </si>
  <si>
    <t>Mobility-migration; kinship; identification; Andes; northern Chile</t>
  </si>
  <si>
    <t>This article analyzes the relationship between population mobility, rural-urban migration, kinship practices and collective identification in the Codpa Valley, located in the Arica Precordillera in northern Chile. The research methodology combined the extended case method and multi-sited ethnography. Between 2012 and 2017, we carried out ethnography in urban and rural spaces through which members connect the city of Arica with the locality. Based on the results of the research, we show that, in a context of high rural-urban migration that characterizes the indigenous territories diagnosed as depopulated, kinship practices have played a central role in the configuration of a translocal identification of the population, revealing a specific sociocultural logic associated with the locality and its construction of alterities in the (trans)national border area.</t>
  </si>
  <si>
    <t>10.4067/S0717-73562019005001802</t>
  </si>
  <si>
    <t>Cerón, Leidy; Pérez Alvarado, Marly; Poblete, Rolando</t>
  </si>
  <si>
    <t>Percepciones Docentes en torno a la Presencia de Niños y Niñas Migrantes en Escuelas de Santiago: Retos y Desafíos para la Inclusión</t>
  </si>
  <si>
    <t>Migration; Culture; Education; Teacher; Perception</t>
  </si>
  <si>
    <t>The arrival of a migrant population of school age in Chile has created a set of challenges for the State, the education system and especially for schools that receive foreign children, establishing a concern to achieve inclusion and respect for rights of all. In this regard, there are many factors that intervene in this process, however, the possibility of advancing towards inclusive education in schools with boys and girls of diverse origins is largely mediated by the appraisal teachers have of their students. Under this premise, the aim of the research that originated this article was to get to know the perception teachers have in two schools of the borough of Santiago, about inclusive education of the migrant students in their schools, and the possibilities for the construction of a culture of inclusion. Through a mixed methodology with surveys and semi structured interviews, it was possible to establish that these teachers have a restricted view of inclusion, and that they assume that migrants have a series of academic and behavioral shortcomings that hinder their inclusion and full participation in schools.</t>
  </si>
  <si>
    <t>Cerrutti M.; Parrado E.</t>
  </si>
  <si>
    <t>Intraregional Migration in South America: Trends and a Research Agenda</t>
  </si>
  <si>
    <t>Annual Review of Sociology</t>
  </si>
  <si>
    <t>common markets; gender; labor markets; Latin America; migration; South America; South-South international migration</t>
  </si>
  <si>
    <t>This article contributes to the global dialogue attempting to incorporate South-South intraregional migration into policy and academic discussions by reviewing the dynamics, characteristics, and legal contexts of interregional migration in South America. We first present the historical formation of migratory subsystems and identify emerging trends. We then organize our revision along the main theoretical issues surrounding international migration and their significance in the region. These issues include motivation, contexts of origin and reception, migration dynamics, gender, race and ethnicity, immigrant adaptation, and migration policies. Next, we consider the study of South American migrations, both internal and international, to be a research agenda with significant potential to deepen our understanding of migrations in general and to propose new theoretical orientations that go beyond the questions already identified in the mobility from poorer to wealthier countries. We conclude with suggestions for a research agenda devoted to interregional migration in South America. Copyright © 2015 by Annual Reviews. All rights reserved.</t>
  </si>
  <si>
    <t>10.1146/annurev-soc-073014-112249</t>
  </si>
  <si>
    <t>Cespedes Carreno, Cristian; Vinas Poch, Ferran; Malo Cerrato, Sara; Rubio Rivera, Andres; Oyanedel Sepulveda, Juan Carlos</t>
  </si>
  <si>
    <t>Comparison and relation of Subjective well-being and overall life satisfaction with life in native and immigrant adolescents of the Metropolitan Region of Chile</t>
  </si>
  <si>
    <t>REVISTA INTERNACIONAL DE ESTUDIOS MIGRATORIOS</t>
  </si>
  <si>
    <t>migration; age; sex; subjective well-being; global satisfaction with life</t>
  </si>
  <si>
    <t>Introduction: The adolescent migration in Chile is a phenomenon in development and whose study is incipient. The importance of researching adolescent migration has implications in terms of integration, adaptation and quality of life for the new inhabitants of Chile. This article, which aims to compare subjective well-being and life satisfaction among native and migrant students in terms of gender and age, presents the results obtained in a study carried out in the Santiago district of the Metropolitan Region of Chile in 2018. Method: The PWI-SC5 and OLS Scales were administered to a sample of 406 adolescents between the ages of 12 and 16 years. 56.65% of the students corresponded to women and 43.35% to men. The sample consisted of 55.91% of students born in Chile and 44.09% of migrant students. Results: Although in the results of the three-factor ANOVA of the PWI-SC5 Scale, no effects of interaction between gender, age and indigenous or migrant condition were observed, differences between native and migrant students are observed in relation to material satisfaction and with the use of time. Likewise, statistically significant differences were only found in the OLS variable according to the gender of the students. Regarding the overall satisfaction with life, the results show that the age group and the condition of native or migrant are affected. In the case of native students, the areas of subjective well-being that were significant as predictors of OLS were satisfaction with relationships with people, with adult listening and with the use of time, while for the migrant students only the last two of these were significant. Discussion: The discussion emphasizes the need to continue exploring the subject with larger samples and longitudinally.</t>
  </si>
  <si>
    <t>Céspedes, Cristian; Rubio, Andrés; Vera, Hugo; Viñas, Ferrán; Malo Cerrato, Sara; Navarrete, Bernardo</t>
  </si>
  <si>
    <t>Satisfacción vital y calidad de vida estudiantil con relación al autoconcepto familiar en el contexto migratorio en Chile</t>
  </si>
  <si>
    <t>Psocial</t>
  </si>
  <si>
    <t>migration; life satisfaction; family self-concept</t>
  </si>
  <si>
    <t>Abstract Adolescent migration in Chile is a developing phenomenon of which there are very few studies regarding their satisfaction with life, perceived quality of life and family self-concept in relation to the native population. This article aims to compare the satisfaction with life, quality of life and family self-concept of both groups and analyze how these constructs are related in the sample studied. Method: The SLSS, BMSLSS and AF5_DF scales were administered to a sample of 406 adolescents aged between 12 and 16 years. 56.65% of the students were girls and 43.35% boys. The sample consisted of 55.91% of students born in Chile and 44.09% of migrant students. Results: Differences were observed in some items of the SLSS and BMSLSS scales between the two groups (natives and migrants). There are no statistically significant differences in the AF5_DF Scale. In terms of correlations, the BMSLSS Scale better explains the SLSS Scale in native students. In the case of migrant students, the AF5_DF Scale showed a stronger correlation with the SLSS Scale. The correlation of the BMSLSS_SF with AF5_DF is also higher in the native ones. Discussion: The levels of satisfaction with life, perceived quality of life and family self-concept do not differ widely in the two groups. The discussion emphasizes the need to continue exploring the issue with representative samples and qualitative methodology, longitudinally and incorporating other variables.</t>
  </si>
  <si>
    <t>Cespedes, Cristian; Rubio, Andres; Vinas, Ferran; Cerrato, Sara Malo; Lara-Ordenes, Eliseo; Rios, Javier</t>
  </si>
  <si>
    <t>Relationship Between Self-Concept, Self-Efficacy, and Subjective Well-Being of Native and Migrant Adolescents</t>
  </si>
  <si>
    <t>self-concept; self-efficacy; subjective well-being; migration; adolescence</t>
  </si>
  <si>
    <t>In the last decade, the migrant population in Chile has substantially increased, where the rates have not only increased in the adult population, but also among children and adolescents, creating a potential for social and cultural development in the educational system. The present work analyzes the relationship between self-concept, self-efficacy, and subjective well-being in native and migrant adolescents in Santiago de Chile. The sample consisted of 406 students, 56.65% women, with an age range that fluctuated between 12 and 16 years, with an average of 13.36 years (SD = 0.96). Student's t-tests were used to compare the average of the constructs evaluated between natives/migrants and boys/girls participants. Subsequently, two multivariate models of simple mediation were constructed, one for natives and another for migrants, which assumed subjective well-being as a dependent variable, academic self-concept as an independent variable and the general self-efficacy as a mediating variable. In both models, gender was considered as a control variable. Results show that migrant students present higher levels of academic self-concept and general self-efficacy than native students. There are no differences with regard to well-being. In the case of gender, differences are observed only for the case of general self-efficacy, where boys present higher levels. On the other hand, a partial mediation is observed for the model of native students and a total mediation for the model of migrant students. The study yielded interesting results regarding the differences in the evaluation of the constructs of self-concept, self-efficacy, and subjective well-being in both groups. Such data can be used as inputs for the development of public policies for adolescents.</t>
  </si>
  <si>
    <t>10.3389/fpsyg.2020.620782</t>
  </si>
  <si>
    <t>Cetin O.</t>
  </si>
  <si>
    <t>In Front of God, next to the Neighbours</t>
  </si>
  <si>
    <t>Journal of Muslims in Europe</t>
  </si>
  <si>
    <t>critical discourse analysis; emotions; Germany; Islam; migration; socio-cultural problems; textbook research; Turkish migrants</t>
  </si>
  <si>
    <t>Abstract This article presents how emotions contribute to the construction of self-images by shaping perceptions of particular problems that arise during cultural encounters, as described in Turkish instruction textbooks in Germany. I argue that textbooks serve as key information and emotion entrepreneurs, generating emotional resources to shape particular understandings of problems while constructing self-image(s) in transgenerational and transcultural contexts during these encounters between heritage- and mainstream-cultures. A critical discourse analysis of narratives depicting how they were considered as a challenge to the socio-cultural belonging of the actors of heritage culture would highlight textbooks' representative role as agents of social change through the adoption of specific discursive components and strategies. In addition to research on emotions and textbooks, the analysis would contribute to the study of religion by demonstrating how debates referring to religious reasoning can be approached as social issues perceived and conceptualized through an emotional framework attached to socio-cultural belonging. Keywords  © 2023 Brill Academic Publishers. All rights reserved.</t>
  </si>
  <si>
    <t>10.1163/22117954-bja10065</t>
  </si>
  <si>
    <t>Chan C.</t>
  </si>
  <si>
    <t>Chinese migrants’ spatial politics of belonging, identity, and citizenship in Santiago de Chile</t>
  </si>
  <si>
    <t>Citizenship Studies</t>
  </si>
  <si>
    <t>citizenship; ethnicity; identity; politics; Space</t>
  </si>
  <si>
    <t>Chinese migrants are often used as an example of socio-spatial self-segregation, exemplified in Chinatown studies. Drawing on scholarship on citizenship and multiculturalism, I analyze the case study of the ethnic Chinese in Santiago, Chile, to interrogate their perceived reluctance towards social or political integration. Analysis draws on interviews, participation observation, and media coverage of a 2016 Chinese mass protest in the city center, and a 2018 proposal by the Santiago mayor to establish a Chinatown in a multicultural commercial neighbourhood. By discussing Chinese and Chilean interpretations of these events, I highlight the diverse practices of citizenship and identity–between ‘old’ and ‘new’ Chinese migrant groups in Chile. These not only challenge views of Chinese migrants as homogenous and/or politically disengaged. It also highlights complex evolving practices and attitudes towards belonging and citizenship in the diversifying overseas Chinese population, in an era marked by tropes about ‘the rise of China.’. © 2020 Informa UK Limited, trading as Taylor &amp; Francis Group.</t>
  </si>
  <si>
    <t>10.1080/13621025.2020.1825624</t>
  </si>
  <si>
    <t>THEORIZING MIGRATION INFRASTRUCTURE IN CHILE AND LATIN AMERICA: THE CENTRAL ROLE OF BROKERS; [TEORIZANDO LA INFRAESTRUCTURA DE MIGRACIÓN EN CHILE Y AMÉRICA LATINA: EL ROL CENTRAL DE LOS INTERMEDIARIOS]</t>
  </si>
  <si>
    <t>Revista Historia Social y de las Mentalidades</t>
  </si>
  <si>
    <t>Asian Migration; Brokers; Infrastructure; Migration</t>
  </si>
  <si>
    <t>This article takes as its starting point the observation that brokers have been overlooked in political and academic discussions about international migration in Latin America. Highlighting the historical role of brokers in global migration, this article challenges current scholarly emphasis on migrant agency and the role of the State in explaining regional migration. It does so by providing an overview of current research on migration infrastructure and arguing for its relevance to Latin America. Finally, diverse cases of Asian migration to Chile are described and analyzed as a way to highlight the political importance and relevance of the concept and the phenomenon of migration brokers. © 2019, Universidad de Santiago de Chile. All rights reserved.</t>
  </si>
  <si>
    <t>10.35588/rhsm.v23i2.4066</t>
  </si>
  <si>
    <t>Chan C.; Montt Strabucchi M.</t>
  </si>
  <si>
    <t>Many-faced orientalism: racism and xenophobia in a time of the novel coronavirus in Chile</t>
  </si>
  <si>
    <t>Asian Ethnicity</t>
  </si>
  <si>
    <t>Chile; COVID-19; orientalism; racism; xenophobia</t>
  </si>
  <si>
    <t>Ethnic Chinese and Asians have historically been excluded, invisibilized, or experienced conditional inclusion in South America. In Chile, the global pandemic provoked an increase in older patterns of anti-Chinese racism and anti-China sentiments. Orientalist and racist discourses have gone uncriticized, although anti-China statements by politicians and academics have provoked diplomatic backlash. Contextualizing the history of orientalism and representations of Chineseness in Chile, we show that dominant political and cultural discourses during COVID-19 strongly reproduce the dichotomy between the ‘Oriental’ and ‘Occidental.’ The pandemic reveals the superficial and problematic nature of the government’s recent attempts to articulate multiculturalism in an era of ‘rise in China’ tropes. © 2020, © 2020 Informa UK Limited, trading as Taylor &amp; Francis Group.</t>
  </si>
  <si>
    <t>10.1080/14631369.2020.1795618</t>
  </si>
  <si>
    <t>Chan C.; Ramírez C.; Stefoni C.</t>
  </si>
  <si>
    <t>Negotiating precarious labour relations: dynamics of vulnerability and reciprocity between Chinese employers and their migrant workers in Santiago, Chile</t>
  </si>
  <si>
    <t>Chinese employers; labour relations; Latin American migrants; Precarity; reciprocity; space</t>
  </si>
  <si>
    <t>Precarious labour research has highlighted the multidimensional factors shaping migrants’ vulnerability to labour exploitation. This article takes a different approach by attending to the possible reciprocity in labour relations– despite unequal power dynamics– particularly when workplaces are small and involve daily interactions between migrant workers and migrant employers. Methodology is based on observations in Chinese-run retail shops and restaurants in Santiago, and interviews with Chinese employers and their Latin American migrant employees of diverse backgrounds. Proposing the concept of “precarious labour relations”, we examine the independent and shared uncertainties between migrant employers and workers who are differently marginalized through race/migrant status axes in Chile. Analyzing dynamics of hierarchy, (mis)trust, and reciprocity in how these actors negotiate precarity and security as workers and/or migrants, we complicate dichotomies of exploitation and resistance in migrant labour research, by foregrounding the multidimensional relationship between employers and workers when both are racialized migrants and minorities. © 2019, © 2019 Informa UK Limited, trading as Taylor &amp; Francis Group.</t>
  </si>
  <si>
    <t>10.1080/01419870.2019.1579919</t>
  </si>
  <si>
    <t>Chan, Carol</t>
  </si>
  <si>
    <t>Patchwork infrastructures: Indonesian and Filipino multinational migratory trajectories to Chile</t>
  </si>
  <si>
    <t>APPLIED MOBILITIES</t>
  </si>
  <si>
    <t>Infrastructure; migration; multinational; the Philippines; Indonesia; Chile</t>
  </si>
  <si>
    <t>By discussing the multinational labor migration trajectories of Indonesian and Filipino women to Chile, this article proposes the term patchwork infrastructures to examine the improvised coordination between multiple persons and institutions that facilitate and enable such uncommon migration pathways. Drawing on ethnographic research and 41 semi-structured interviews conducted between 2018-2022 with migrant women, employers, and relevant state actors in Chile, I focus on two such journeys that occurred partially due to instances of infrastructural failures in Southeast Asia and the absence of a coherent migration infrastructure connecting Southeast Asia and Latin America. Patchwork infrastructure highlights the creative practices and complex relations that were forged and maintained to ensure the eventual migration and emplacement of women whose journeys had been disrupted, prevented, or delayed. A focus on such processes of patchworking highlights the high level of human discretion, arbitrary decision, and action in interactions among diverse actors involved in migration. Patchwork infrastructure calls for attention to the micro- and personal level of infrastructuring migration in contexts where relevant institutions fail or are absent; these processes demonstrate the generative and expansive nature of infrastructure.</t>
  </si>
  <si>
    <t>10.1080/23800127.2023.2295185</t>
  </si>
  <si>
    <t>Not Always Left-Behind': Indonesian Adolescent Women Negotiating Transnational Mobility, Filial Piety and Care</t>
  </si>
  <si>
    <t>ASIA PACIFIC JOURNAL OF ANTHROPOLOGY</t>
  </si>
  <si>
    <t>Transnational Migration; Gender; Youth; Care; Indonesia</t>
  </si>
  <si>
    <t>In contrast to current research focusing on how migrant parents provide care for their left-behind' children, this article highlights how Indonesian adolescent women also migrate (or stay) in order to provide care for their families. Drawing from ethnographic research conducted mainly between 2014 and 2015 in Central Javanese migrant-origin villages, this article discusses how opportunities for transnational labour migration affect young unmarried women's roles as dutiful daughters' in diverse ways. By analysing how the (im)mobilities of three young women are mutually shaped by diverse expectations to care for their families, I highlight that care is always relational, showing that the distinction between care-givers and care-receivers is less evident than currently assumed in migration studies. Closer examination of how young persons mutually negotiate mobility and parent-child care expectations brings into focus the new forms of agency, power and vulnerability that they encounter in migration and migrant-origin contexts.</t>
  </si>
  <si>
    <t>10.1080/14442213.2017.1311372</t>
  </si>
  <si>
    <t>Permanent migrants and temporary citizens: multinational Chinese mobilities in the Americas</t>
  </si>
  <si>
    <t>BELONGING; CHINA; DIASPORA; MIGRATION AND MOBILITY; TRANSNATIONAL CITIZENSHIP</t>
  </si>
  <si>
    <t>In this article, I examine the multinational mobility and citizenship practices of ethnic Chinese who moved to Chile after living in another Latin American country. Despite being permanent residents or Chilean citizens, some hope to return to a previous country of residence in Latin America. Based on 18 semi-structured interviews conducted between October 2016 and August 2018, their experiences illuminate two aspects of multinational migrations. First, unlike pre-planned serial migrations of global elites or 'step-wise' migrant workers, these multinational mobilities are nonlinear and open-ended, due to their contingence on volatile and racialized political economies. Second, unlike transnational migrants who typically maintain links to 'origin' countries, they seldom visit China or Taiwan, and instead visit other countries in the Americas, due to business, familial, and affective ties. I discuss the main factors shaping the contingent nature of their mobilities and attachments to Chile, which influences the multiple onward pathways possible in their futures.</t>
  </si>
  <si>
    <t>10.1111/glob.12279</t>
  </si>
  <si>
    <t>In between leaving and being left behind: mediating the mobilities and immobilities of Indonesian non-migrants</t>
  </si>
  <si>
    <t>GOVERNANCE; MIGRATION AND MOBILITY; SOUTHEAST ASIA; TRANSNATIONAL MIGRANTS; TRANSNATIONALISM</t>
  </si>
  <si>
    <t>In this article, I consider how and why some non-migrants partially inhabit migrant subjectivities. Based on ethnographic fieldwork conducted in Central Java, Indonesia, I describe the experiences of those who embarked on pre-departure migration processes, but failed to leave the country. Men were often victims of fraud; women typically ran away from the confines of training centres. When redirected away from the border spaces of airports and recruitment centres, they typically identify themselves and are perceived by kin and neighbours as former' transnational migrants. I analyse how migration infrastructure - intersecting institutions, agents and technologies - produces such subjectivities in-between conventional migrant and non-migrant categories. These positions in between leaving and staying illuminate the infrastructural conditions that enable, constrain and mediate transnational mobilities. These cases of non-departure show the expansive social and spatial effects of migration infrastructure beyond the facilitation of transnational movement. Such less considered (im)mobilities of non-migrants point to the diverse ways in which migration institutions and agents mediate the circulation of persons between and within national borders.</t>
  </si>
  <si>
    <t>10.1111/glob.12161</t>
  </si>
  <si>
    <t>They'd Better Really Treat Her Nice: Gendered Dynamics of Care and Control in Filipina Migrant-Broker Relations in Chile</t>
  </si>
  <si>
    <t>JOURNAL OF INTERNATIONAL MIGRATION AND INTEGRATION</t>
  </si>
  <si>
    <t>Brokers; Migration; Gender; The Philippines; Chile</t>
  </si>
  <si>
    <t>Critical scholarship on migrant brokers and brokerage have problematized the popular dichotomy of brokers as either altruistic or exploitative. Current research seeks instead to understand the diverse relationships and power dynamics between such migration intermediaries and migrants, and the strategies that both parties employ to reduce the risks inherent in long-distance international migration journeys. Drawing from a broader ethnographic project on Southeast Asian migration to Chile, this article presents the narratives of two Filipina women who facilitated the migration of Filipina domestic workers to Chile. Analysis of their experiences contributes to problematizing the category of broker and to understanding the complex and gendered dynamics of care and control that some intermediaries establish with migrants. I emphasize how these brokers' gendered migrant subjectivities shape their processes and strategies of mediation. In the specific context of Southeast Asian migration, focusing on these intermediaries sheds light on more individualized forms of migrant brokerage, in contrast to the predominant research on migration policies and commercial migrant recruitment and placement agencies. Attending to the complexity of who brokers are and their roles is important in apprehending migration and border policies that depend on defining their roles in the migration process.</t>
  </si>
  <si>
    <t>10.1007/s12134-023-01010-2</t>
  </si>
  <si>
    <t>The politics of leisure and labor mobilities: discourses of tourism and transnational migration in Central Java, Indonesia</t>
  </si>
  <si>
    <t>MOBILITIES</t>
  </si>
  <si>
    <t>Tourism mobilities; labor migration; gender; class; Indonesia; Southeast Asia</t>
  </si>
  <si>
    <t>This article presents narratives and tropes of transnational tourism from a less considered perspective: rural migrant-origin villagers of Central Java. Drawing from ethnographic fieldwork conducted in Cilacap and Yogyakarta, I analyze how and why some former temporary labor migrants depict their typically harsh experiences in terms of tourism and leisure. Addressing the tendency in current research to approach labor migration and tourism as mutually exclusive or unrelated class categories and experiences, I consider the ways in which former migrants and non-migrant villagers evaluate or identify labor migration in terms of gender, class, religious, and ethno-national subjectivities associated with tourist' and/or migrant' categories. Popular and commercial imaginations of leisure travel and tourism importantly shape the subjectivities and positionalities of precarious labor migrants. Foregrounding the relations between tourism and labor migration reveals the multi-scalar ways in which associated discourses and infrastructures of both mutually shape and constitute global socio-economic inequalities.</t>
  </si>
  <si>
    <t>10.1080/17450101.2017.1356436</t>
  </si>
  <si>
    <t>Migrants as Victims and National Heroes: Questioning Migration as a Pathway to Development in Indonesia</t>
  </si>
  <si>
    <t>Migration; development; gender; Indonesia; victims; heroes</t>
  </si>
  <si>
    <t>This article examines the relationship between the Indonesian government's discourse on. migrant-victims and the promotion of migration as a pathway to development. The discussion revolves around two dominant representations of Indonesian migrants: as national heroes that contribute to the country's economic development and as victims of labor exploitation. In analyzing speeches of state representatives and publications by local media and NGOs, it argues that both representations emphasize individual responsibility in terms of gender morality. For this purpose it proposes the category of immoral victims, which distinguishes between tolerable violence and legitimate violence, according to which those who do not qualify in terms of the moral standard of ideal women are believed to deserve their circumstances. An approach based on the (im)morality of the individual downplays the responsibility of the states and institutions for the protection of migrant workers and the social welfare of the population.</t>
  </si>
  <si>
    <t>10.7440/res59.2017.03</t>
  </si>
  <si>
    <t>Chan, Carol; Fernandez-Ossandon, Rosario</t>
  </si>
  <si>
    <t>'Companerismo': Care and Power in Affective Labor Relations</t>
  </si>
  <si>
    <t>CRITICAL SOCIOLOGY</t>
  </si>
  <si>
    <t>domestic work; migration; care; affect; racialization; commodification; Chile</t>
  </si>
  <si>
    <t>Many Chilean women employers desire domestic workers who are also 'partners' or 'someone to do life with'. Taking 'partnership' or 'companerismo' seriously, this paper draws on an affective labor framework and economic sociology to examine how care and power operate in affective and highly commodified labor relations between Chilean women employers and migrant Filipina domestic workers. We contextualize this discussion within historical relations of servitude in Chile and salient demands for more horizontal social and gender relations. We show that rather than reinforcing power or control, employers' emphases on affective aspects of the labor relation enable their willful ignorance of power hierarchies, through normalizing the racialized presence of the worker in the household. However, explicit talk about money exposes the material conditions of affect and care in this racialized affective relationship. This reveals the uneven distribution and production of both care and power in the household, and highlights the disruptive nature of care work as affective labor.</t>
  </si>
  <si>
    <t>4-5</t>
  </si>
  <si>
    <t>10.1177/08969205221100268</t>
  </si>
  <si>
    <t>Chan, Carol; Gomez, Natalie</t>
  </si>
  <si>
    <t>Challenges to addressing trafficking into forced labor in Chile: a legal culture perspective</t>
  </si>
  <si>
    <t>CRIME LAW AND SOCIAL CHANGE</t>
  </si>
  <si>
    <t>Human trafficking; Forced labor; Exploitation; Migration; Indonesia; Chile</t>
  </si>
  <si>
    <t>The meanings of human trafficking vary according to political, legal, and sociocultural contexts. This article contributes to understanding the global variation and challenges in enforcing anti-human trafficking laws, by examining how Chilean law enforcement responded to suspected cases of trafficking into forced labor after the Anti-Trafficking Law was enacted in 2011. We present qualitative research on suspected cases of labor trafficking involving Indonesian women in the city of Punta Arenas, including interviews with suspected victims, prosecutors, plaintiff attorneys, anti-trafficking legal advocates, and Indonesian embassy representatives. We argue that four aspects of Chilean legal culture illuminate multiple challenges to identifying and prosecuting cases of labor trafficking in Chile: the perspective that cases of labor disputes and labor trafficking are mutually exclusive; the heterogeneous understandings and definitions of forced labor and human trafficking; the normalization of migrant labor exploitation; and the lack of coordination between relevant institutions and stakeholders. Examining these cases that were investigated between the years 2011 and 2019 allows us to identify the development of a specific legal culture regarding human trafficking into forced labor in Chile.</t>
  </si>
  <si>
    <t>10.1007/s10611-022-10059-6</t>
  </si>
  <si>
    <t>Chan, Carol; Trahms, Christine</t>
  </si>
  <si>
    <t>Managing the Long-Term Effects of Psychological Abuse on (Im)migrant Domestic Workers</t>
  </si>
  <si>
    <t>Domestic work; Psychological abuse; Mental health; Psychosocial wellbeing; Migration; Chile</t>
  </si>
  <si>
    <t>While researchers have highlighted the emotional distress of migrant domestic workers who experience abuse by employers, less is known about long-term effects of the psychological abuse that they experience. Drawing from a broader ethnographic study of Filipino and Indonesian migration to Chile, we analyze three Filipina domestic workers' migration narratives to examine how they narrate and manage the long-term effects of psychological abuse in the domestic workplace that they experienced more than ten years earlier. Building on insights from medical anthropology and using narrative analysis, we contribute to discussions on migrants' mental health and psychosocial wellbeing by showing how these migrants seek to make meaningful sense of their previous experiences to deal with the enduring effects. We show that they construct alternative narratives that foreground their experiences as linked to structural factors and suggest that their psychosocial wellbeing is linked to their ability to subvert or derive meaning from earlier experiences of structural violence.</t>
  </si>
  <si>
    <t>10.1007/s11013-023-09836-2</t>
  </si>
  <si>
    <t>Chaparro S.G.; Sepúlveda R.</t>
  </si>
  <si>
    <t>Inclusion of migrant students in a Chilean school: Challenges for school leadership practices; [Inclusión de estudiantes migrantes en una escuela chilena: Desafíos para las prácticas del liderazgo escolar]</t>
  </si>
  <si>
    <t>PSICOPERSPECTIVAS</t>
  </si>
  <si>
    <t>Educational inclusion; educational management; intercultural education; migration</t>
  </si>
  <si>
    <t>Due to the intensification of migration in Chile and the increase in the national enrollment of migrant students, it is necessary to research how public schools are facing the processes of educational inclusion. This study aims to understand the principal leadership practices in relation to the inclusion process of migrant students and the challenges that a public school must face in one of the areas with a high migrant population. The present unique case study carried out semi-structured interviews and a focus group with different participants from the educational community. The main results revealed that although there are access opportunities, there are also institutional challenges to establish leadership guidelines that allow the monitoring and follow-up of migrant students, focusing the discussion on the urgency of promoting a better inclusive and intercultural education to the whole school community. © 2022 Pontificia Universidad Catolica de Valparaiso. All rights reserved.</t>
  </si>
  <si>
    <t>10.5027/psicoperspectivas-vol21-issue1-fulltext-2501</t>
  </si>
  <si>
    <t>Chavez Galindo, Ana Maria; Pinto Da Cunha, Jose Marcos; Barquero, Jorge; Macadar, Daniel; Molina, Wendy; Olivera, Guillermo; Rodriguez, Jorge; Sobrino, Jaime</t>
  </si>
  <si>
    <t>Concentrated deconcentration and migration: a look from large metropolitan areas of Latin America</t>
  </si>
  <si>
    <t>REVISTA LATINOAMERICANA DE POBLACION</t>
  </si>
  <si>
    <t>Metropolitan areas of Latin America; Patterns of geographic concentration of the population; Hypothesis of concentrated deconcentration; Internal migration</t>
  </si>
  <si>
    <t>This article studies the hypothesis of concentrated deconcentration, which posits that the loss of demographic and economic gravitation of metropolitan areas is due to short-distance internal migratory movements, which can expand their hinterland and their functional relationships, maintaining or even reinforcing its importance within the national urban system. To verify this hypothesis, a methodological proposal is offered that operationalizes the concept of concentrated deconcentration by using two analytical dimensions: i) relative weight of the metropolitan area in the total population and in the urban population of the country, and ii) movements of recent internal migration between the metropolitan area and its near and far environments. This proposal applies to five metropolitan areas in Latin America. The results suggest that the change in the territorial distribution of the population is diverse, since in some cases there is no loss of the demographic weight of the big city, while in others this loss is reduced, or in others there are signs of deconcentration. concentrated.</t>
  </si>
  <si>
    <t>e202108</t>
  </si>
  <si>
    <t>10.31406/relap2022.V16.e202108</t>
  </si>
  <si>
    <t>Chávez, Alejandro Rosendo; Villalobos Martínez, Alejandro; Fuentes Hernández, Lucía</t>
  </si>
  <si>
    <t>Promoción de escuelas inclusivas en contextos migratorios rurales. Análisis desde el enfoque territorial del desarrollo</t>
  </si>
  <si>
    <t>Estudios pedagógicos (Valdivia)</t>
  </si>
  <si>
    <t>Territory; Education; Interculturality; Inclusion; Territories of Migration</t>
  </si>
  <si>
    <t>ABSTRACT: The purpose of this study is to analyze how through the promotion of the territories favors the development of inclusive migrant schools, for this purpose they are discussed around theoretical and referential elements that affect the development of an inclusive education considering the migratory processes developed in Chile, but that have the territory as a common articulating axis in the Latin American context. The migratory processes throughout Latin America have been present since its inception, it is interesting to explore how this phenomenon constitutes an important source of interculturality configuration that should be addressed by the school system facilitating and contributing to the development of more inclusive schools. Another aspect to address is how the adaptation and preparation of the territories can favor recent migratory processes, transforming the different actors of the school system into responsible for installing real and effective policies of inclusion. Thus, the binomial education-territory is presented as a bridge and engine of aspirations for the development of rural communities with migratory characteristics, being necessary to deepen the understanding of the educational mechanisms that make some territories have a better development than others. As a whole, the results suggest that policies should invest both in individuals (schooling and assets), and in territories (public goods, promotion of productive diversification, etc.) so that migratory territories can deploy their potential and achieve development and inclusion. For such purposes we are interested in addressing questions such as: how does the territory contribute to the development of inclusive schools? Is it possible to prepare the territories to establish inclusive public policies? questions that we seek to elucidate.</t>
  </si>
  <si>
    <t>Chavez, Daniela; Palacios, Diego; Luengo-Kanacri, Bernadette Paula; Berger, Christian; Jimenez-Moya, Gloria</t>
  </si>
  <si>
    <t>The role of perspective-taking and low social class prejudice on cross-ethnic friendship formation</t>
  </si>
  <si>
    <t>IMPACT OF MIGRATION ON CHILD AND ADOLESCENT DEVELOPMENT: DIVERSITY IN MIGRATION PATHWAYS AND EXPERIENCES</t>
  </si>
  <si>
    <t>friendship; homophily reduction; migration; perspective-taking; social class prejudice</t>
  </si>
  <si>
    <t>Cross-ethnic friendships offer a unique opportunity for improving intergroup relations and reduce prejudice, yet ethnic segregation of friendship networks is often seen as a major obstacle to the integration of immigrant students in educational contexts. This article examines the role of perspective-taking abilities and prejudice towards low social class peers on the probability of cross-ethnic friendships in a sample of 242 students from five multicultural classrooms in Chile (M-age = 12.3; SD = 0.69, 45% girls). It was expected that students who reported high levels of perspective-taking abilities and low levels of prejudice towards low social class peers were more likely to form and maintain cross-ethnic friendships. Longitudinal network analysis (RSiena) was used to examine these hypotheses, confirming the role of both variables in fostering (and reducing) friendships among Chilean and immigrant adolescents. Results are discussed in light of an intersectional framework between social class and ethnicity. Implications for social-emotional interventions in multicultural educational contexts are also discussed.</t>
  </si>
  <si>
    <t>10.1002/cad.20403</t>
  </si>
  <si>
    <t>Cholaky M.C.</t>
  </si>
  <si>
    <t>Analysis of the expulsion of foreigners in Chile from 2012 to 2020; [Análisis de la expulsión de los extranjeros en Chile desde 2012 a 2020]</t>
  </si>
  <si>
    <t>Revista de Derecho</t>
  </si>
  <si>
    <t>Chile; Expulsion; Immigration</t>
  </si>
  <si>
    <t>Under the framework of criminalization, the expulsion of foreigners in Chile is examined, both as an administrative sanction and judicial penalty, from 2012 to the present, outlining the course that the sanctioning scheme has followed. It is investigated how this measure has evolved according to the type of expulsion, its specificity, the nationalities and the territory in which they are concentrated. Examining the data, it is observed that in Chile deportations have increased in recent years, especially those that operate as a substitution of punishment, thus a shift in politics is verified, characterized by the preponderance of judicial expulsions, which have a high level of specificity compared to the administrative ones. While materialized administrative deportations have decreased since 2018, administrative expulsion orders have increased considerably, this low level of execution, together with the sharp rise in complaints for clandestine entry, produces a considerable increase in expellable subjects, imposing a governance that is more What to expel makes migratory flows more precarious. © 2022. Revista de Derecho.All Rights Reserved</t>
  </si>
  <si>
    <t>10.4067/S0718-09502022000100191</t>
  </si>
  <si>
    <t>Cid Hidalgo, Juan D.</t>
  </si>
  <si>
    <t>Exile and migration in La nave de los locos, by Cristina Peri Rossi. A journey to others' spaces</t>
  </si>
  <si>
    <t>Migration; city; exile; nomadism; madness; knowledge; power</t>
  </si>
  <si>
    <t>In La nave de los locos, the proposed signals surrounding the topic of a ship collecting mad people, which represents a mental hospital space, concentration camps, or dictatorships, highlights their abandonment and deprivation from society and its fundamental settlement, the city, which denies every time the presence of those disturbing others. Under these circumstances, it is believed that the text by Cristina Peri Rossi mutates from the conception of marginalization just as deprivation and negativity up to the assumption of exodus as the instance of freedom, and, on that way, the instance of overcoming the categorizations proposed by power.</t>
  </si>
  <si>
    <t>Cienfuegos Illanes, Javiera</t>
  </si>
  <si>
    <t>Migrant Mothers and Divided Homes: Perceptions of Immigrant Peruvian Women about Motherhood</t>
  </si>
  <si>
    <t>JOURNAL OF COMPARATIVE FAMILY STUDIES</t>
  </si>
  <si>
    <t>transnational family; motherhood from afar; south-south migration; cultural image</t>
  </si>
  <si>
    <t>The incorporation of women into the labor market has transcended national boundaries; the possibilities of communication and territorial mobility brought about by globalization have revitalized traditional feminine markets at the supra-national level, as in the cases of domestic service and prostitution. In this context, many women decide to migrate alone in search of greater economic security. This article explores the construction of motherhood by migrant Peruvian women in Chile whose children live far off from them. A qualitative methodology was used for the field research, including in-depth interviews with Peruvian mothers and a group discussion in which migrant Peruvian women in Chile mothers and non-mothers participated. The hypothesis guiding the study is that there is a tension between the culturally inherited image of motherhood and the specific practice of motherhood from afar. Migrant mothers experience but also resolve this tension between image and practice. The study concludes that the resolution of the struggle is usually found through an adjustment of the meaning of the traditional image of motherhood, rather than as a result of a cultural change that would question the suppositions underlying this image.</t>
  </si>
  <si>
    <t>+</t>
  </si>
  <si>
    <t>10.3138/jcfs.41.2.205</t>
  </si>
  <si>
    <t>Cikota, Javier</t>
  </si>
  <si>
    <t>UNCERTAIN FLAGS: IMMIGRANT COLONIES AND FRONTIER ANXIETIES IN NORTHERN PATAGONIA (1890-1930)</t>
  </si>
  <si>
    <t>LATIN AMERICANIST</t>
  </si>
  <si>
    <t>Patagonia; Immigration; Argentina</t>
  </si>
  <si>
    <t>This article looks at the shifting Argentine policy towards immigrants, the role of immigrant settlers in the Patagonian frontier, and challenges presented by large immigrant colonies of areas of contested sovereignty. Argentina encouraged tran-Atlantic immigration in the late nineteenth century to populate the country, including the newly incorporated region of Patagonia, which was formerly controlled by independent indigenous groups. Immigrants moved to the frontier as part of a staged migration, and quickly occupied key economic and social position in their growing towns. Their success on the frontier put Argentine authorities in a dill ficult position: they relied on immigrants to develop Patagonia, hut they remained uncertain of the allegiance of those same immigrants. This difficult position was exacerbated with regards to Chilean immigrants, who were seen as less preferred than European immigrants and represented a heightened seditious threat, since Patagonia shared a long border with Chile. This article argues that the ambivalence by the state towards immigrants, the semi-colonial administration of the frontier by the Argentine state, and the immigrants own economic and social prominence created the conditions for the emergence of a civil society in northern Patagonia. This civil society grew in response to police abuses, and became adept to using institutional allies outside of Patagonia (like cabinet officials and diplomatic staff) to attempt to control local officials.</t>
  </si>
  <si>
    <t>Cimpoeru S.; Roman M.; Roșca V.I.; Prada E.-M.; Manafi I.; Mureșan L.</t>
  </si>
  <si>
    <t>Two-Speed Integration? A Comparative Analysis of Barriers and Resilience Strategies of Young Migrants in Vulnerable Conditions in Romania</t>
  </si>
  <si>
    <t>Social Sciences</t>
  </si>
  <si>
    <t>barriers to integration; integration strategies; migration; resilience; social inclusion</t>
  </si>
  <si>
    <t>This comparative study focuses on the barriers to social and economic inclusion, as well as the integration and coping strategies of Arab and Moldovan migrants in Romania. We explored the integration barriers they face, the main individual and societal aspects that lead to their resilience, and their self-perception of vulnerability, by carrying out 35 psychosocial interviews and four focus groups with young migrants (aged 18 to 29), belonging to the two different subgroups (of Arab and Moldovan origins, respectively). The comparative analysis revealed that migrants from Arab countries face harsher integration barriers compared to Moldovan migrants, they have a more severe self-perceived vulnerability, and their integration may be a longer and more complex process. Results showed that mastery of the language and the network of acquaintances play an indispensable role in inclusion. Moldovans integrate more easily than Arabs, thanks to their fluency in Romanian, the native language shared with the majority local population, the geographical and cultural proximity to the country of destination, and the larger personal network. We highlight the need for improving integration policies for young migrants, tailoring them to the specific problems and barriers that migrants are facing. © 2023 by the authors.</t>
  </si>
  <si>
    <t>10.3390/socsci12020084</t>
  </si>
  <si>
    <t>Ciriza-Mendívil C.D.</t>
  </si>
  <si>
    <t>Tribute and urban mita. Mobilization and indigenous migration to Quito in the seventeenth century; [Tributo y mita urbana. Movilización y migración indígena hacia quito en el siglo XVII]</t>
  </si>
  <si>
    <t>Anuario de Estudios Americanos</t>
  </si>
  <si>
    <t>City; Indigenous; Migration; Mita; Quito; Seventeenth Century; Tribute</t>
  </si>
  <si>
    <t>By the seventeenth century most of the population of the city of Quito were natives. Being a colonial city this abundance and the magnitude of the indigenous migration to the urban sphere pose many questions. In one side, this article has the objective to show the extend of tributes in the city of Quito between natives and the importance of mita service at the urban sphere. On the other side, this study will present the conjunction of elements that made the city of Quito such an important place of attraction to indigenous population since sixteenth century to the end of the seventeenth century. © 2019 CSIC.</t>
  </si>
  <si>
    <t>10.3989/aeamer.2019.2.02</t>
  </si>
  <si>
    <t>Ciuciuman Romero A.</t>
  </si>
  <si>
    <t>STUDY OF THE SENIOR POPULATION OF COPȘA MICĂ AFTER THE REVOLUTION AND THE MODEL CHANGE. AN ETHNOGRAPHIC VISION</t>
  </si>
  <si>
    <t>Anthropological Researches and Studies</t>
  </si>
  <si>
    <t>abandonment; loneliness; mental health; migration; old age</t>
  </si>
  <si>
    <t>Objectives.The health-care and welfare needs of the elderly population are increasing in Eastern European countries, especially in Romania. In 1989, subsequently after the fall of Ceausescu´s regime, the country had to restart, with the novelty of going abroad to work in the post-revolutionary Romanian context, retaining those who would become the future old age of the country. The purpose of this article was to explore the various social problems faced by this sector of the population, as a result of an ethnography within the framework of a case study carried out in the city of Copșa Mică. Material and methods. The study was based on an ethnographic research carried out between September 2020 and April 2021, supported by discourse analysis of 12 life stories and 18 in-depth interviews, a total of 30 people from the town of Copșa Mică, 15 men and 15 women, whose ages were between 53 and 85 years. Results. In particular, this study revealed the existence of invisible illnesses and suffering that affect mental health, such as loneliness, abandonment or depression. These discomforts come, partly, as a result of the change of paradigm, and the constant migration of former workers sons and daughters. Conclusions. It is necessary to rethink these contemporary challenges, in which the current social structure puts old age aside, with the duty of positioning it towards a dignified old age and increasing social strategies to face the growing need for care and attention. © 2022, Romanian Academy Francisc I Rainer Institute of Anthropology. All rights reserved.</t>
  </si>
  <si>
    <t>10.26758/12.1.8</t>
  </si>
  <si>
    <t>Cocilovo, Jose A.; Varela, Hector H.; Valdano, Silvia G.</t>
  </si>
  <si>
    <t>Post-marital residence patterns in the prehistoric population of Arica (Chile)</t>
  </si>
  <si>
    <t>INTERSECCIONES EN ANTROPOLOGIA</t>
  </si>
  <si>
    <t>Arica; Genetic structure; Migrations; Post-marital residence patterns</t>
  </si>
  <si>
    <t>In ancient and living societies, the prevalence of a survival strategy based on a kinship system with a matrilocal residence model prevails. The ancient population of the Azapa valley and coast provides a unique opportunity to analyze social relationships and to establish the pattern of post-marital residence and its evolution supported by population development and adaptation to changes that occurred over a period of 5000 years. In this study, a sample of 305 individuals of both sexes exhumed from the coast and the Azapa valley regions, and belonging to five chronological periods established on the basis of archeological indicators, was investigated. Twenty-nine craniometric variables were analyzed through a discriminant function analysis and the evaluation of the variance within and between groups based on the Fst statistic by period and sex. The results obtained show the existence of significant statistical differences in the tests carried out, indicating a social structure based on a bilocal residence pattern transitioning to a matrilocal model.</t>
  </si>
  <si>
    <t>10.37176/iea.22.2.2021.610</t>
  </si>
  <si>
    <t>Cocina-Cholaky, Martina</t>
  </si>
  <si>
    <t>Contradictions in the Chilean Government's Immigration Policy (2018-2022)</t>
  </si>
  <si>
    <t>DERECHO PUCP</t>
  </si>
  <si>
    <t>Migration; Chile; migration gobernability; irregularity</t>
  </si>
  <si>
    <t>Under the slogan of putting the house in order, the government of Sebastian Pinera, since his presidential inauguration in 2018, has imposed various requirements on human mobility, which have hindered the entry and regular stay of groups such as Haitians and Venezuelans. These measures have been accompanied by a commitment to the militarization of the northern border and the mediatization of expulsions, along with a rhetoric that dichotomizes displacements into positive/negative, according to their administrative situation, thus conditioning the rights of migrants. This paper examines, from the paradigm of migration governance and through a documentary analysis, the Chilean migration policy from 2018 to 2022, investigating from a qualitative and exploratory approach the main measures implemented and the rhetoric used. It is concluded that in this presidential period a policy has been intensified that, through a human rights narrative, restricts certain flows, increasing irregularity and the precariousness of the crossings, consequences that contradict the premise of orderly, safe and regular migration on which the government administration is based. This dynamic has been strongly expressed in the Tarapaca Region, a territory that has become the epicenter of the migratory situation.</t>
  </si>
  <si>
    <t>10.18800/derechopucp.202202.008</t>
  </si>
  <si>
    <t>Cociña-Cholaky M.; Pantoja J.D.</t>
  </si>
  <si>
    <t>International forced mobility of children and adolescents in Chile: refuge, regularization and redirection; [Movilidad forzada internacional de niños, niñas y adolescentes en Chile: refugio, regularización y reconducción*]</t>
  </si>
  <si>
    <t>Brazilian Journal of International Law</t>
  </si>
  <si>
    <t>adolescents; best interests of the child; children; Chile; redirection; refuge</t>
  </si>
  <si>
    <t>The objective of this paper is to examine how the Chilean State has dealt with the international forced migration of children and adolescents (CNA) from 2010 to the present. Based on a qualitative methodology of documentary analysis of specialized literature, statistical material and reports, it is observed that, despite the increase in forced displacements, the Chilean State has granted refuge to a small number of child and adolescent applicants, most of whom have not been granted a response, which is particularly worrying considering the serious crisis affecting Venezuela. It is evident that the scenario has worsened, since in recent years there has been a substantial increase in the entry of children and adolescents through unauthorized crossings, particularly Venezuelan nationals. In view of this situation, the main responses generated by the Chilean legal system are analyzed, as well as the correspondence of the measures adopted with respect to international standards on the migration of children and adolescents. It is concluded that, although there are efforts by the Chilean State to provide protection to children and adolescents in the context of forced mobility, they are insufficient in light of the principle of the best interests of the child. © 2023 Centro Universitario de Brasilia. All rights reserved.</t>
  </si>
  <si>
    <t>10.5102/rdi.v20i2.9139</t>
  </si>
  <si>
    <t>Cofré-González C.G.; Alvarez-Cruces D.J.</t>
  </si>
  <si>
    <t>Strengths and weaknesses on the incorporation of intercultural health in nursing training; [Fortalezas y debilidades sobre la incorporación de salud intercultural en la formación de enfermería]</t>
  </si>
  <si>
    <t>Index de Enfermeria</t>
  </si>
  <si>
    <t>Care Management; Curriculum; Intercultural Competence; Migration</t>
  </si>
  <si>
    <t>To analyse the strengths and weaknesses identified by nursing professionals on the incorporation of intercultural health in nursing training. Methods: Qualitative research with a phenomenological approach. Intrinsic case study design. A total of 28 nursing professionals participated of the Maule region, Chile, who met the inclusion criteria. Results: The strengths identified were consistent with the country’s reality, professional integrity, and intercultural competence in health, this would allow providing healthcare to anyone who needs it. The main weakness lies in the fact that training in intercultural care is implicit in the training itinerary. Conclusions: The Nursing curriculum has elements that would allow to manage care in a comprehensive and holistic way; however, intercultural themes are implicit or absent in the training. This evidences the need to make content more flexible and transversal, where academics promote dynamic teaching method-ologies and clinical professionals foster intercultural encounters in a reflective manner. © 2022, Fundacion Index. All rights reserved.</t>
  </si>
  <si>
    <t>Collin P.</t>
  </si>
  <si>
    <t>Digitally Enhanced? Mediated Migration and ‘Fourth Wave’ Chileans in Australia</t>
  </si>
  <si>
    <t>Journal of Intercultural Studies</t>
  </si>
  <si>
    <t>Australia; Chile; Information Communication Technologies; Migration; Transnationalism</t>
  </si>
  <si>
    <t>This paper examines the contemporary experience of migration for Chileans arriving in Australia in the last two decades. It specifically explores the increasing role of Information Communication Technologies (ICTs) and its mediating effects on experiences of departure, arrival, ‘being’ and ‘belonging’. In doing so, the paper considers some of the tensions between ‘hyper-digital’ transnationalism and dominant discourses of nationalism. The findings indicate diversity of experience, but highlight that these recent Chilean migrants utilise ICT to suspend and manage physical relocation and to engage both on and offline with wide and shallow networks of Chileans and non-Chileans in local and transnational spaces. At the same time, they reflect a more cultural, issues-based orientation towards the structural and discursive dimensions of migration in both ‘home’ and ‘host’ countries suggesting that ICT is imbricated in wider processes of distancing the ‘migrant’ from the national core. This highlights some of the possibilities and limitations of ‘hyper-digital’ transnationalism. © 2014, © 2014 Taylor &amp; Francis.</t>
  </si>
  <si>
    <t>10.1080/07256868.2014.944111</t>
  </si>
  <si>
    <t>Collins F.L.</t>
  </si>
  <si>
    <t>Transnational mobilities and urban spatialities: Notes from the Asia-Pacific</t>
  </si>
  <si>
    <t>Progress in Human Geography</t>
  </si>
  <si>
    <t>Asia-Pacific; migration; temporary migrants; urban; urban mobility</t>
  </si>
  <si>
    <t>Recent debates in migration studies have emphasized the importance of attending to the urban as part of an effort to respatialize the study of mobility and transnationalism. This paper critically expands on these interventions through a more detailed engagement with ideas of relationality and territoriality moving beyond permanent settlement to consider temporary migrants, and considering urban centres outside North America and Europe through discussion of cities in the Asia-Pacific. The paper discusses two potential avenues towards a more sophisticated conceptualization of transnational mobilities and urban spatialities: moving beyond rupture in analysis of migrant settlement, and interrogating transnational and urban mobilities. © The Author(s) 2012.</t>
  </si>
  <si>
    <t>10.1177/0309132511423126</t>
  </si>
  <si>
    <t>Colmenares N.; Thayer L.E.</t>
  </si>
  <si>
    <t>Multilevel Analysis of Instruments and Institutional Coordination that Manage the Migration Issue in Chile; [Análisis multinivel de los instrumentos y la coordinación institucional que rigen la migración en Chile]</t>
  </si>
  <si>
    <t>Gestion y Politica Publica</t>
  </si>
  <si>
    <t>immigration policy; migration; multilevel coordination; municipalities</t>
  </si>
  <si>
    <t>The aim of this article is to analyze in a multilevel way the instruments that govern migration in Chile, and that contribute to produce the precarious legal status of immigrants, having the local territories and the vertical coordination that occurs between the central government and the municipalities as the main axes of analysis to implement such instruments. A registry of the migratory normative framework in Chile is built up to 2021, categorized according to territorial scale and type. Migration statistics are presented, accounting for their socio-spatial coordination and the vertical coordination is characterized based on the identification of key aspects. The research design is mixed, based on a documentary review and the application of a survey to 218 public officials, who work with migrants in 25 per cent of the Chilean communes (87 municipalities). © 2022, Centro de Investigacion y Docencia Economicas A.C.. All rights reserved.</t>
  </si>
  <si>
    <t>10.29265/gypp.v31i2.1258</t>
  </si>
  <si>
    <t>Colmenares, Neida; Abarca, Karelys</t>
  </si>
  <si>
    <t>Migration at the local level in Chile. Challenges, demands and policies in times of pandemic</t>
  </si>
  <si>
    <t>migration; local immigration policies; immigration policy</t>
  </si>
  <si>
    <t>The objective of these paper is the analysis of the migration in Chile from a territorial perspective to identify the main challenges of migration policy, having as its central axis the role of local governments in facilitating access to the rights of immigrants inside their territories in the context of the crisis generated by the Covid-19 pandemic. Migration in Chile is contextualized, analyzing the data by regions and communes. Information is presented on social demand and municipal migratory supply at the local level. The research is mixed, combining the techniques of documentary review and survey. For the first case, 100% of the official websites of the municipalities were consulted and 73% of the Communal Development Plans of the municipalities were reviewed. In the second case, officials who work directly with the foreign population in 87 Chilean municipalities were surveyed.</t>
  </si>
  <si>
    <t>Comandini Galvez, Ana Carolina</t>
  </si>
  <si>
    <t>Prostitution and white slave trafficking: The international discourse of victimhood (Chile, 1934)</t>
  </si>
  <si>
    <t>HISTORIA UNISINOS</t>
  </si>
  <si>
    <t>white slave trafficking; migration; prostitution; pimping; victimhood</t>
  </si>
  <si>
    <t>This article seeks to describe and analyze how the association between the trafficking of white women and prostitution was established and reproduced in Chile, in a way similar to how the discourse was expanding internationally, with a marked direction from Europe to America, where well-defined profiles of the subjects involved in that crime were constructed: the foreign pimp or pander and the prostitute who is a victim of tricks and sexual exploitation far from her native country. The case of Chile is particularly attractive, as this country, unlike what happened on the Latin American Atlantic coast, had not received a large contingent of European immigrants to justify that this kind of discourse was so successful among local authorities and the population in general. Through the study of an indictment for white slave trafficking filed in 1934 against an Italian subject residing in Santiago de Chile, we will reconstruct at the national and international level the scenarios and contexts that allowed this type of ideas to permeate the interpretation of the local reality, which, as we will see, was far from what the victimizing paradigm of white slave trafficking tried to define as a cross-border crime.</t>
  </si>
  <si>
    <t>10.4013/htu.2018.222.12</t>
  </si>
  <si>
    <t>Concha N.L.; Ladino M.T.; Gatica Y.C.</t>
  </si>
  <si>
    <t>Health mobility between arica and tacna: Analyzing an unsatisfied demand and an attractive offer across the border; [Movilidad por salud entre Arica y Tacna: análisis de una demanda no satisfecha y de una oferta atractiva del otro lado de la frontera]</t>
  </si>
  <si>
    <t>Border; Chile; Healthcare; Mobility; Peru</t>
  </si>
  <si>
    <t>Adopting a mixed-methods approach (surveys and interviews), this article addresses the phenomenon of health mobility from Arica to Tacna. It shows that Arica's inhabitants cross the border to the city of Tacna for purposes such as using the Peruvian health services, purchasing medicines, glasses and other commodities. The argument is that irrespective of border disputes, bordercrossing takes place as a result of the increasing commoditization and low quality of Chile's public health system. Tacna, instead, offers affordable and generally better services, with quick access to specialists and medical examinations. Yet, while routine controls, health checks and second-opinion visits motivate border-crossing in large measure, complex medical procedures feature less prominent-ly in the study especially due to lack of insurances, lack of information and, in some cases, distrust on the results.</t>
  </si>
  <si>
    <t>10.5209/GEOP.56122</t>
  </si>
  <si>
    <t>Concha Villanueva, Sebastián</t>
  </si>
  <si>
    <t>Propuestas para regular las migraciones en Chile y la obstinación del securitismo</t>
  </si>
  <si>
    <t>URVIO Revista Latinoamericana de Estudios de Seguridad</t>
  </si>
  <si>
    <t>Chile; international migrations; migratory policies; security</t>
  </si>
  <si>
    <t>Abstract This paper aims to analyze, in a comparative perspective, the projects to regulate migrations in Chile presented by the governments of Michelle Bachelet and Sebastian Piñera. It is argued that both share a common feature: despite having elements based on the promotion of rights, they maintain traits that correspond to a control logic. We summarize the Chilean phenomenon of immigration that motivates the creation of a new regulation, analyze the present law and, finally, establish a comparative framework that addresses the particularities of the proposed immigration laws made by the Michelle Bachelet and Sebastian Piñera governments.</t>
  </si>
  <si>
    <t>23</t>
  </si>
  <si>
    <t>10.17141/urvio.23.2018.3571</t>
  </si>
  <si>
    <t>Concha, Nanete Liberona; Quezada, Mileska Romero; Salinas, Sius-Geng; Velos, Karen</t>
  </si>
  <si>
    <t>Migrant Smuggling on the Borders of Northern Chile: and its Resistance</t>
  </si>
  <si>
    <t>People smuggling; illegalized migration; Chilean borders; migrant resistance; ethnography</t>
  </si>
  <si>
    <t>This article seeks to account for the link between Chilean migration policies and the production of migrant smuggling on the country's northern borders, in a context of global migration regime. Likewise, it reflects on the consequences of migratory illegalization caused by migrant smuggling and by the elaboration and legitimization of categories such as illicit, crime and irregular. To this end, a review of the literature referring to illegalized migration is made, taking some elements of the autonomy of migrations. It is evident that citizenship is exercised if social rights are assured, which is not the case with this population, that experiences a hyper vulnerability of its life, but that at the same time puts into practice a series of clandestine and public, individual and collective resistance that allows them to exercise a migrant citizenship. Methodologically, an ethnography of migrant smuggling was carried out at the border crossing to Chile between 2018 and 2021, which was complemented with a press review through the categorization of news from 2016 to 2021; and interviews with institutional informants were also conducted. It is concluded that migrant smuggling plays an important role in the illegalization of the migrant population, however, the conditions in which it occurs should be considered in judicial processes, since it would be aggravated trafficking. Considering it this way, it should lead to the regularization of migrants; nevertheless, they are criminalized instead, treated as illegal and have been subject to collective expulsions that, paradoxically, were analyzed as illegal.</t>
  </si>
  <si>
    <t>10.18800/derechopucp.202202.001</t>
  </si>
  <si>
    <t>Constanza Ayala, M.</t>
  </si>
  <si>
    <t>Academic achievement in math and language of migrant and local students: The role of teachers' educational expectations and ethnic composition</t>
  </si>
  <si>
    <t>academic achievement; migration; teacher expectations; ethnic composition</t>
  </si>
  <si>
    <t>There is a vast literature in developed countries that has documented an ethnic gap in academic achievement, which favors local students. This evidence has discussed individual and structural factors. Despite this, there are still gaps that need to be addressed. This study seeks to deepen into the Latin American case and delve into the relationship between the educational expectations of teachers and the ethnic composition of the classrooms with the academic results of migrant and local students. Census data of fourth-grade students in Chile are used through standardized tests in mathematics and language and analyzed with multilevel models of four levels (students, classrooms, schools, and local authorities). The results suggest that children from ethnic minorities are at a disadvantaged compared to their national peers in mathematics, but not in language. The educational expectations of teachers have a positive relationship with academic achievement. The opposite happens with the percentage of migrant students in the classroom. Interaction analyses indicate that the association between teachers' educational expectations and academic achievement is moderated in part by the ethnic composition of the classroom. Finally, possible explanations for the observed findings and contributions to public policy are discussed.</t>
  </si>
  <si>
    <t>10.14507/epaa.30.6337</t>
  </si>
  <si>
    <t>Contreras Cruces, Hugo</t>
  </si>
  <si>
    <t>Local Migration and Indigenous Settlement on the Spanish Farms of Central Chile, 1580-1650</t>
  </si>
  <si>
    <t>HISTORIA-SANTIAGO</t>
  </si>
  <si>
    <t>Central Chile; 16th century; 17th century; indigenous people; farms; encomienda; agro-livestock economy</t>
  </si>
  <si>
    <t>This article examines the process that took place as changes were made to the way in which indigenous manual labor was used (as mandated by the Spanish government through the encomienda) in Central Chile towards the end of the sixteenth century through the first half of the seventeenth century. As gold veins were depleted and the Chilean economy changed, moving toward agro-livestock production, Spanish representatives began slowly and tentatively, at first, then massively and permanently, to move workers to farms and ranches where they lived and lent personal services. Other tax payers paid indigenous people, bought slaves or contracted those who were available to work regardless of their origin. This meant that by the seventeenth century, the majority of these people were living on such rural properties and deserting their original settlements. As these farms became the main nuclei of the rural indigenous populations, people from many different geographical locations -with a variety of legal statuses and identities-came together and raised families.</t>
  </si>
  <si>
    <t>Contreras Gatica Y.; Seguel Calderón B.</t>
  </si>
  <si>
    <t>Informal territory. A new reading of informal access to housing and land in Chile; [Territorio informal. Una nueva lectura del acceso a la vivienda y al suelo en Chile]</t>
  </si>
  <si>
    <t>Revista de Geografia Norte Grande</t>
  </si>
  <si>
    <t>campamento; informal settlement; Informal territory; urban informality</t>
  </si>
  <si>
    <t>Informal Territory is proposed as an alternative to the processes and concepts that describe informal access to housing and land. Unlike related terms, Informal Territory welcomes the materialization of informality in different locations and scales, whether in central, pericentral and/or peripheral areas, and urban and/or rural areas. Methodologically, it is proposed as a working concept since its theoretical and empirical discussion continues to develop. Its approach is based on the analysis of four territories in northern Chile, where 120 interviews were conducted. Informal Territory embraces different forms of production and agency, including the political strategies and projects behind each occupation. Produced by vulnerable families with low-middle and low incomes, and speculative subjects such as sub-lessors, managers, pirate developers and owners. Informal Territory is also conceived as the concatenation of any individual or collective practice to design living alternatives, responding to obsolete and restrictive housing proposals of the State. Exposing the existence of barriers, facilitators and strategies, the Informal Territory evidences the overlapping of different political projects, like self-management, and self-construction, led mainly by women heads of household, in the course of strategies to settle, eradicate or materialize other residential projects. © 2022, Revista de Geografia Norte Grande. All rights reserved.</t>
  </si>
  <si>
    <t>10.4067/S0718-34022022000100113</t>
  </si>
  <si>
    <t>Contreras Gatica, Yasna; Seguel Calderon, Beatriz</t>
  </si>
  <si>
    <t>Gentrification and immigration: a relationship in the face of the Chilean migration and housing crisis</t>
  </si>
  <si>
    <t>SCRIPTA NOVA-REVISTA ELECTRONICA DE GEOGRAFIA Y CIENCIAS SOCIALES</t>
  </si>
  <si>
    <t>informal settlement; informal territory; encampment; gentrification; displacement; resistance</t>
  </si>
  <si>
    <t>Intermediate cities in the Chilean North that attract migrant/immigrant population, experience an explosive increase in informal settlements in their peripheries, which are a response to extensive processes of real estate speculation, increase in rental and sublet values, displacement in the face of an abusive, deregulated, and racist housing and land market. Under these conditions, this article analyzes the relationship between gentrification and immigration, considering the immigration and housing crisis that the country has been facing for at least three years. The discussion includes 84 in-depth interviews applied in the intermediate cities of Iquique and Antofagasta, also including interviews with key actors. The relationship between gentrification and immigration reveals a public policy gap associated with at least four interrelated dimensions: (i) restriction, denial or limitation of access to housing in central areas; (ii) pirate urbanization and exclusive housing market; (iii) construction of housing programs and/or policies that diminish the political agency of the most vulnerable; and, (iv) consolidation of self-constructed precarious settlements as a strategy of survival, resistance, waiting and/or change.</t>
  </si>
  <si>
    <t>Contreras H.; Hatibovic F.</t>
  </si>
  <si>
    <t>Jemmy Button syndrome? Subjective effects of international mobility experiences in 243 Chilean university students</t>
  </si>
  <si>
    <t>Globalisation, Societies and Education</t>
  </si>
  <si>
    <t>Chile; group emotions; international exchange programmes; International student mobility; socioemotional climate; subjective well-being</t>
  </si>
  <si>
    <t>The present study examined the well-being and the emotional experience of Chilean university students after participating in an international exchange programme and the association between these factors and the underlying discontents of Chilean society. We sought to determine the extent to which the participants’ evaluation of their student exchange experience predicted their opinion of Chile. We employed a quantitative methodology with a descriptive and correlational design. The participants were 243 Chilean students who taken part in an exchange programme between 2014 and 2018 in 13 countries. Regression analyses showed that subjective experiences in Chile had a stronger predictive value for evaluating the country’s situation than subjective experiences developed abroad. This shows that, unlike Jemmy Button, the participating students were not as deeply shocked by their time abroad; rather, their deep-seated dissatisfaction with Chilean society is determined by their experiences in Chile and by a prior, permanent colonial domination that has entered the country through various paths. © 2023 Informa UK Limited, trading as Taylor &amp; Francis Group.</t>
  </si>
  <si>
    <t>10.1080/14767724.2023.2209503</t>
  </si>
  <si>
    <t>Contreras R.; Griffith D.</t>
  </si>
  <si>
    <t>Managing Migration, Managing Motherhood: The Moral Economy of Gendered Migration</t>
  </si>
  <si>
    <t>International Migration</t>
  </si>
  <si>
    <t>For the past two decades, women have been migrating from Mexico to the United States on temporary work visas to pick meat from blue crabs in small coastal factories. Within a theoretical framework that argues for the relevance of a moral economic perspective to gendered migration, we examine the how participating in this migration influences migrants' families, including their abilities to produce higher-quality lives. Specifically, we focus on the various factors that feed into the decision to migrate, the immediate consequences of those decisions for the relations among migrants, children, spouses and other family and community members, and the longer-term consequences in terms of gender relations, the restructuring of parent-child relationships and the material benefits of work abroad. We find that women negotiate a variety of contradictions and paradoxes to participate in the programme, many of which directly influence their quest to reaffirm their abilities, as mothers, to produce quality human beings. These findings reflect more general global appeals for valuing human life by measures other than those of conventional political economy. © 2012 The Authors. International Migration © 2012 IOM.</t>
  </si>
  <si>
    <t>10.1111/j.1468-2435.2012.00771.x</t>
  </si>
  <si>
    <t>Contreras Y.; Tapia M.; Liberona N.</t>
  </si>
  <si>
    <t>Social and space border moving and practices between Arica And Tacna. From the sense of frontier to transfrontericidad between cities; [Movilidades y prácticas socioespaciales fronterizas Entre Arica Y Tacna. Del sentido de frontera a la transfrontericidad entre ciudades]</t>
  </si>
  <si>
    <t>Dialogo Andino</t>
  </si>
  <si>
    <t>Border and mobility; Migration; Spatial practices</t>
  </si>
  <si>
    <t>The study of human mobility between border cities strains notions of border and calls into question ideas that have long been used in migration studies. Border social practices show that the transborder nature of two cities (Arica and Tacna) are mainly the result of their inhabitants' desire to take advantage of the act of crossing, which leads to various types of mobilities. The disparities and asymmetries of the cities and strong sense of border that exists there do not prevent people from crossing daily, weekly or monthly to work or sell goods in Arica or decrease the cost of living, seek medical care or enjoy cuisine and recreational activities in Tacna. As such, mobility at the border and socio-spatial practices as well as space-time continuity form the basis of the constitution of Arica and Tacna as Transborder Urban Complexes.</t>
  </si>
  <si>
    <t>10.4067/S0719-26812017000300127</t>
  </si>
  <si>
    <t>Contreras-Hernández P.; Trujillo-Cristoffanini M.</t>
  </si>
  <si>
    <t>Intersectional Violence Matrix: Experiences and Trajectories of Latin American Women in Barcelona; [Matriz de violência interseccional: experiências e trajetórias de mulheres latino-americanas em Barcelona]; [Matriz de violencia interseccional: experiencias y trayectorias de mujeres latinoamericanas en Barcelona]</t>
  </si>
  <si>
    <t>Antipoda</t>
  </si>
  <si>
    <t>Intersectionality; irregular migration; Latin American women; migration; strategies of resistance; violence</t>
  </si>
  <si>
    <t>In this article, we analyze the violence experienced by Latin American women in the city of Barcelona, Spain. Theoretically, we work from two frameworks of analysis. The first is the triangular model proposed by Galtung, as it highlights the interaction of different forms of violence. The second is based on intersectionality, as it locates factors of oppression that enhance situations of vulnerability. Methodologically, we held 29 semi-structured interviews with Latin American women living in the city of Barcelona between 2014-2016 and 2019-2021. This time frame responds to the stages of the two research studies that support this article. The first of these (2014-2016), undertaken in the context of doctoral research by Dr. Macarena Trujillo, analyzed the experiences of Latin American women who were heads of single-parent families. The second (2019-2021) was in the context of a postdoctoral research by Dr. Paola Contreras, who delved into how migration accentuates and/or allows the emer-gence of violence that aggravates such issues. Both studies were carried out in Barcelona. The sample is made up of women aged between 26 and 53 years, with and without residence permits and who mostly work in domestic and care services. The results highlight how the migratory situation operates as a catalyst for violence that, directly and indirectly, influences the formation of a matrix of intersectional violence. Based on the latter, we propose to broaden the concept of violence against migrant women due to the comple-xity, multiplicity, and diversity of situations they face in their migratory journey. © 2023, Universidad de los Andes, Bogota Colombia. All rights reserved.</t>
  </si>
  <si>
    <t>10.7440/antipoda51.2023.08</t>
  </si>
  <si>
    <t>Contreras-Salinas S.; Martínez C.G.; Pavelic M.R.; Mendez M.S.</t>
  </si>
  <si>
    <t>Construction of Masculinities in the Discourse of Migrant Students in Chile; [CONSTRUCCIÓN DE MASCULINIDADES EN LOS DISCURSOS DE ESTUDIANTES MIGRANTES EN CHILE]</t>
  </si>
  <si>
    <t>Itinerarios</t>
  </si>
  <si>
    <t>childhood; masculinities; migration; school; speeches</t>
  </si>
  <si>
    <t>The main objective of this paper was to identify the conceptions and representations associated with the construction of masculinity in the discourse and counter-discourse of male migrant students, aged between 12 and 14. To this end, a qualitative methodology was used in the form of group interviews and field notes. The data collected was analyzed from the standpoint of the discursive psychological approach of Korobov and Bamberg (2004), as well as discourse analysis. During this research it was possible to note the self-perception of children youths as being men in construction, and the non-existence of contributions from the school to the processes of construction of their masculinities. Another element to consider is the relevance that migrant students give to their family and particularly to the figure of the mother, mainly in terms of care and affection. Likewise, one of the main conclusions, in line with other research studies, reveals that, despite some exceptions, the students maintain a patriarchal idea of what it means to be a man and of his role in the social order, i.e. to keep the male imperative to procreate and provide. © 2021 University of Warsaw. All rights reserved.</t>
  </si>
  <si>
    <t>10.7311/ITINERARIOS.34.2021.10</t>
  </si>
  <si>
    <t>Contreras-Salinas S.; Pavelic M.R.</t>
  </si>
  <si>
    <t>Knowledge deployed in the parenting processes by migrant women in Chile; [SABERES DESPLEGADOS EN LOS PROCESOS DE CRIANZA POR MUJERES MIGRANTES EN CHILE]</t>
  </si>
  <si>
    <t>home; knowledge; migration; mother; tropes; women</t>
  </si>
  <si>
    <t>The article aims to describe some knowledge that migrant women in Chile reproduce in the teaching processes of their children, under a phenomenological perspective that encourages associating migration with the experience of living, together with proposing that tropes are a form to recognize knowledge, all from a study that was developed between 2016-2019, with a qualitative-narrative methodology of multiple cases. Three tropes that announce knowledge are exposed and analyzed: that children learn that things cost; know how to behave and one raises their children so that they do not feel less than anyone. The findings show a tension between subalternity and agency, in the intention of mothers to act in favor of a better living for their children. Concluding that the pedagogies of the home are a key analytical dimension of the migratory experience, because the lessons at home are based on the relationship between the structural and institutional devices and the strategic actions that migrant women deploy. © 2023, Scalabriniano Center for Migratory Studies. All rights reserved.</t>
  </si>
  <si>
    <t>10.1590/1980-85852503880006815</t>
  </si>
  <si>
    <t>Contreras-Salinas, Sylvia; Bambague-Ruiz, Cristina; Barrera-Ruiz, Yolima</t>
  </si>
  <si>
    <t>Knowledge that shapes Migratory Trajectories: Narratives of Colombian Migrant Women in Chile</t>
  </si>
  <si>
    <t>CONVERGENCIA-REVISTA DE CIENCIAS SOCIALES</t>
  </si>
  <si>
    <t>migration; narratives; knowledge; women; experience</t>
  </si>
  <si>
    <t>The objective of this research is to disclose the knowledge that six Colombian professional women display in their migratory trajectories in Chile, particularly in upbringing process. From the narrative approach, a case study method was resorted to through interviews. Among the results obtained, it is revealed that the legitimacy of migrant women is conditional on fulfilling their role as workers, with merit and effort gaining strength. Likewise, knowledge that resists the colonial matrix is recognized, displaying diverse strategies recreated in the processes of upbringing, considering them necessary for the welfare of the children. It is concluded that the discovery of knowledge triggers a multiplicity of experiences that put tension in the prevailing forms of neo-capitalism, warn about the subtle disciplinary practices and reveal resistance practices, contributing to scientific thinking with the possibility of distancing oneself from a binary and hierarchical ideology regarding the local and universal.</t>
  </si>
  <si>
    <t>10.29101/crcs.v0i79.9496</t>
  </si>
  <si>
    <t>Contreras-Salinas, Sylvia; Pavelic, Mónica Ramírez</t>
  </si>
  <si>
    <t>Saberes desplegados en los procesos de crianza por mujeres migrantes en Chile</t>
  </si>
  <si>
    <t>migration; knowledge; women; mother; tropes; home</t>
  </si>
  <si>
    <t>Abstract The article aims to describe some knowledge that migrant women in Chile reproduce in the teaching processes of their children, under a phenomenological perspective that encourages associating migration with the experience of living, together with proposing that tropes are a form to recognize knowledge, all from a study that was developed between 2016-2019, with a qualitative-narrative methodology of multiple cases. Three tropes that announce knowledge are exposed and analyzed: that children learn that things cost; know how to behave and one raises their children so that they do not feel less than anyone. The findings show a tension between subalternity and agency, in the intention of mothers to act in favor of a better living for their children. Concluding that the pedagogies of the home are a key analytical dimension of the migratory experience, because the lessons at home are based on the relationship between the structural and institutional devices and the strategic actions that migrant women deploy.</t>
  </si>
  <si>
    <t>68</t>
  </si>
  <si>
    <t>Contreras, Dante; Gallardo, Sebastian</t>
  </si>
  <si>
    <t>The effects of mass migration on the academic performance of native students. Evidence from Chile</t>
  </si>
  <si>
    <t>ECONOMICS OF EDUCATION REVIEW</t>
  </si>
  <si>
    <t>Causal Effects; Immigration; Academic Performance; Peer Effect</t>
  </si>
  <si>
    <t>Using longitudinal data and a Difference-in-Difference approach, this paper examines how the mass inflow of Venezuelan (who speak Spanish as the natives) and non-Spanish-speaking (mainly Haitians) migrants to Chile has influenced the learning outcomes of native students, specifically the 6th graders in 2018. The evidence shows a decrease on standardized test scores, especially for male students (-0.072SD in Reading,-0.06SD in Math). Said effects are considerably greater in Reading when examining the migration of non-Spanish speakers (-0.099SD). When the shock is motivated by Venezuelan students, a decrease in Mathematics/Reading are observed in both male (-0.56SD/-0.067SD) and female students (-0.04SD/-0.035SD). Two hypotheses that may account for these effects are evaluated. First, a lack of human and financial resources to address these new educational demands. Second, native flight from public to private schools, especially involving higher SES or higher performance students. Results indicate that only the first hypothesis may account for the possible underlying mechanisms.</t>
  </si>
  <si>
    <t>10.1016/j.econedurev.2022.102314</t>
  </si>
  <si>
    <t>Contreras, Dante; Gillmore, Roberto; Puentes, Esteban</t>
  </si>
  <si>
    <t>Self-Employment and Queues for Wage Work: Evidence from Chile</t>
  </si>
  <si>
    <t>JOURNAL OF INTERNATIONAL DEVELOPMENT</t>
  </si>
  <si>
    <t>Labour Markets; Self-Employment; Wage Work; Double Selection Model; J24; J30; J31; J40; J42; J71</t>
  </si>
  <si>
    <t>Self-employment can be considered as either the result of a self-selection process or a reflection of rigidities and skill mismatch in the labour market or both. We estimate a double selection model where individuals queue for wage work instead of being self-employed in the first stage, followed by employers selecting from the queue in the second. We find statistical support for the double selection model, implying that some individuals are self-employed because they cannot find wage work, while other self-select to be self-employed. Individuals with higher education are more often chosen as wage workers, and belonging to an ethnic group decreases the likelihood of being chosen. Additionally, earnings equations suggest that high ability individuals perform better in both the wage work and self-employment sectors. Copyright (c) 2015 John Wiley &amp; Sons, Ltd.</t>
  </si>
  <si>
    <t>10.1002/jid.3074</t>
  </si>
  <si>
    <t>Contreras, Gonzalo; Morales, Mauricio</t>
  </si>
  <si>
    <t>Ethnic solidarity and the vote: Mapuche candidates and voters in Chile</t>
  </si>
  <si>
    <t>Elections; ethnic vote; solidarity and voting; Mapuches; Chile; survey</t>
  </si>
  <si>
    <t>In this article, we evaluate ethnic solidarity and the vote in Chile with reference to the Mapuche, the largest and most traditional ethnic group in the country. We use electoral data from the mayoral elections of 2012, drawn from all the municipalities of the Araucania, the region with the largest percentage of Mapuche population. Using a multi-level linear regression model and controlling for poverty and rurality, we found that Mapuche candidates, regardless of their political orientation, were indeed more successful than non-Mapuche candidates in areas with the greatest concentration of Mapuche voters. Additionally, we used results from an unpublished opinion survey conducted in three municipalities of the Araucania. We concluded that after controlling for other variables ethnic solidarity prevails as a robust predictor of electoral behaviour, albeit more strongly in rural areas than urban ones. The Chilean case, moreover, is useful for studying the strategies used by the traditional parties that promote this solidarity - that is, by presenting candidates with Mapuche surnames in their lists.</t>
  </si>
  <si>
    <t>10.1080/1369183X.2017.1371582</t>
  </si>
  <si>
    <t>Contreras, Jovita Ortiz; Carroza Escobar, María Begoña; Quiroz-Carreño, Jael; Díaz Navarrete, Marcela; Araya Bannout, Marcela</t>
  </si>
  <si>
    <t>Resultados materno-perinatales de gestantes peruanas en Chile: Exploración del efecto del migrante sano</t>
  </si>
  <si>
    <t>Human Migration; Maternal Health; Obstetric Delivery; Pregnancy; Morbidity</t>
  </si>
  <si>
    <t>ABSTRACT Objectives: To compare maternal and perinatal outcomes between Chilean and Peruvian pregnant women in Santiago, Chile, between January and July 2017. Materials and methods: Analytical cross-sectional study of 1,578 Chilean and 318 Peruvian women who attended a clinical hospital in Santiago. We conducted a comparative analysis of maternal and perinatal variables by nationality. Crude and adjusted logistic models were carried out with a 95% confidence interval (95% CI). Results: Peruvian pregnant women resided an average of 5.7 years in Chile, were older (28.1 ± 6.5 vs. 26.6 ± 6.5 years), had less unemployment (52.3% vs. 60.6%), were more likely to enter prenatal care (PC) late (OR: 2.17, 95% CI: 1.69-2.78) and had higher probability of having anemia (OR: 3.45, 95% CI: 2.13-5.56) associated with late entry to PC (adjusted OR: 0.43, 95% CI: 0.33-0.56). On the other hand, Chilean pregnant women were more likely to be obese upon entry to PC (OR: 2.48, 95% CI: 1.81-3.41) and at the time of delivery (OR: 2.03, 95% CI: 1.57-2.62). In addition, Chilean women had higher rates of gestational diabetes (GD) (OR: 2.12, 95% CI: 1.24-3.61), premature delivery (OR: 2.82, 95% CI: 1.59-5.01) and low birth weight (LBW) (OR: 3.10, 95% CI: 1.51-6.33). In the adjusted model, obesity was independently associated with GD (adjusted OR: 3.8, 95% CI: 2.44-6.18) and LBW (adjusted OR: 3.34, 95% CI: 2.33-4.85). Conclusions: The healthy immigrant effect was observed in pregnant Peruvian immigrants, mainly regarding the perinatal outcomes. It is necessary to promote early access to prenatal care and to stablish measures to prevent anemia and obesity, in order to avoid adverse maternal and perinatal outcomes in the studied population.</t>
  </si>
  <si>
    <t>4</t>
  </si>
  <si>
    <t>10.17843/rpmesp.2020.374.6098</t>
  </si>
  <si>
    <t>Contreras, Yasna; Neville, Laura; Gonzalez, Rodrigo</t>
  </si>
  <si>
    <t>In-formality in access to housing for Latin American migrants: a case study of an intermediate Chilean city</t>
  </si>
  <si>
    <t>INTERNATIONAL JOURNAL OF HOUSING POLICY</t>
  </si>
  <si>
    <t>Formal and informal housing; housing policies; migration; intermediate mining city; Chile</t>
  </si>
  <si>
    <t>Antofagasta is an intermediate Chilean city featuring an extractive mining sector which attracts a population of low-income migrants, internal and cross-national, looking for economic opportunities. This leads to a gap between supply and demand for rental housing, subletting and homeownership, resulting in a highly speculative housing market. This paper examines the consequent increase in so-called informal settlements and shows how self-built housing has become an alternative way for the population of internal and foreign migrants to access housing. Drawing upon both quantitative (secondary statistics and a survey with 102 households) and qualitative research (15 in-depth interviews), the paper shows how a private-led, profit-oriented and racist housing market has consolidated in the city. Moreover, by shedding light on the everyday ways in which residents access urban services, the research points to the complex forms of juxtaposition between the formal and the informal in central, peri-central and peripheral sectors of the city. Therefore, the paper questions the formal-informal dualities in access to housing and the necessity to rethink housing and urban policies accordingly.</t>
  </si>
  <si>
    <t>10.1080/19491247.2019.1627841</t>
  </si>
  <si>
    <t>Conzue D.M.</t>
  </si>
  <si>
    <t>Regime of Administrative Sanctions and Other Unfavorable Administrative Acts in Chilean Migratory Law: General Part</t>
  </si>
  <si>
    <t>administrative sanction; Migration; unfavorable administrative act</t>
  </si>
  <si>
    <t>This article study in which cases, and under what reasons, it is possible to apply the distinction between unfavourable administrative acts and administrative sanctions. That requires analyse the elements which allow us to make a distinction between an administrative act as an administrative sanction, as well as migratory rules and rights related to entry of migrants into the territory of a State and subsequent situations to that entry. © 2021. All Rights Reserved.</t>
  </si>
  <si>
    <t>10.4067/S0718-09502021000100255</t>
  </si>
  <si>
    <t>Coq-Huelva D.; Ther-Rios F.; Bugueño Z.</t>
  </si>
  <si>
    <t>Scalar Politics and the Co-Evolution of Social and Ecological Systems in Coastal Southern Chile</t>
  </si>
  <si>
    <t>Tijdschrift voor Economische en Sociale Geografie</t>
  </si>
  <si>
    <t>artisanal fishing; Chile; co-evolution; governmentality; scalarity; social construction</t>
  </si>
  <si>
    <t>Coastal southern Chile includes a set of territories in a continuous process of bio-social construction which cannot be understood without considering scalar politics. Environmental concerns, included in broader neoliberal frameworks of governance, play a central role in the performance of such scales. Thus, this case shows some of the patterns of relations between scalarity and the management of key ecological features. Additionally, territorial governance and scalar production occur in a geographical context over which the State has low effective degree of direct control. Consequently, such processes also need group and individual internalisation of new rules through the creation of mechanisms of self-interest that allow agents' ‘conduct of the conduct’ Thus, scales act as sources and key elements in the generation of governmental instruments that frame and influence individual actions. © 2017 Royal Dutch Geographical Society KNAG</t>
  </si>
  <si>
    <t>10.1111/tesg.12299</t>
  </si>
  <si>
    <t>Cordero K.; Chiuminatto P.; Duncan S.; Vera E.</t>
  </si>
  <si>
    <t>Millennials in the Stacks: Choices, Habits and Attitudes of Frequent Library Users between the Ages of 18–29 in Santiago, Chile</t>
  </si>
  <si>
    <t>International Information and Library Review</t>
  </si>
  <si>
    <t>Chile; millennials; public libraries; reading habits; user experience; user perception of libraries</t>
  </si>
  <si>
    <t>Libraries have been rethinking their collections and services in order to remain relevant for new generations. In Chile, adults between 20 and 36 are one-third of the population, yet they are underrepresented in the research on reading preferences and practices. Through a survey of 346 library users, librarian interviews and focus groups, this study sought to learn about library habits and preferences as well as literacy and cultural practices among 18 to 29 year-old library users in Santiago, Chile. Findings reveal a diversity of reading preferences, with an accent on genre fiction and nonfiction; an appreciation of the librarian as mediator and authority, a view of the library as a symbolic and material space; and a migration to the Internet for recommendations, access to books and spaces for new literacy practices. These initial findings underscore the importance of adapting libraries’ collections and services as literacy practices evolve among young users in the twenty-first century. © 2020, © 2020 The Author(s). Published with license by Taylor &amp; Francis Group, LLC.</t>
  </si>
  <si>
    <t>10.1080/10572317.2020.1786794</t>
  </si>
  <si>
    <t>Cordoba-calquin, Claudia Alejandra; Rojas-patuelli, Karina Hortensia; Gonzalez-lagos, Rodrigo Edgardo</t>
  </si>
  <si>
    <t>The Segregation of Migrant Students in Schools in Santiago, Chile</t>
  </si>
  <si>
    <t>MAGIS-REVISTA INTERNACIONAL DE INVESTIGACION EN EDUCACION</t>
  </si>
  <si>
    <t>School integration; migration; primary schools; Chile</t>
  </si>
  <si>
    <t>The Chilean school system gradually teaches migrant students who usually attend public schools and are clustered in some institutions which, in Santiago, are located in the central communes district. This phenomenon is usually explained by the residential pattern of the students, a hypothesis which this study analyzes. It took the form of a comparative case study, of a quantitative and longitudinal nature, which took advantage of data (for the period from 2006 to 2018), on schools which have a large number of foreign students and neighboring schools which do not. It concludes that neither the residential pattern nor the administrative structure explains the phenomenon. Nor did it find evidence to suggest that Chilean students leave schools with many foreign students.</t>
  </si>
  <si>
    <t>10.11144/Javeriana.m15.seem</t>
  </si>
  <si>
    <t>Córdoba, Claudia; Altamirano, Carolina; Rojas, Karina</t>
  </si>
  <si>
    <t>Elementos para Comprender la Concentración de Estudiantes Extranjeros en Escuelas Chilenas</t>
  </si>
  <si>
    <t>Public schools; School segregation; Choice of school; International migration; Chile</t>
  </si>
  <si>
    <t>Abstract: Migration to Chile has incremented significantly during the last few years, which has an impact on the quantity of foreign students registered in the school system. These kind of students, unlike the Chilean ones, mainly attend public schools. However, it is established that the percentage of foreign students that go to this type of school also varies even when they are in the same area. Moreover, only some schools concentrate foreign students. This is usually explained by the fact that public schools are free of charge and there are few barriers to control the admission and, also, because of the migrant population residential pattern. The concentration of foreign students is relevant to Chilean school system because it represents a new form of segregation in a system already fragmented in a socioeconomic and academic level. This article presents the results of an ethnographic study developed in two nearby public schools. Both show a variation of foreign student percentages. The results show that families play a vital role because they tend to self-segregate themselves to protect their children from discriminatory situations related to their migrant condition.</t>
  </si>
  <si>
    <t>Cordova R.B.</t>
  </si>
  <si>
    <t>Crisis, migration and responsible parenthood: contemporary issues; [CRISIS, MIGRACIÓN Y PATERNIDAD RESPONSABLE: PROBLEMAS DE LA CONTEMPORANEIDAD]</t>
  </si>
  <si>
    <t>Vergentis</t>
  </si>
  <si>
    <t>Church; Demography; Family; Migration; Responsible Parenthood</t>
  </si>
  <si>
    <t>From the premise that migratory processes interfere in the structural order of families, and being that, understood as a domestic church, since Vatican II, it is necessary to examine how the Catholic Church has positioned itself on these two essential phenomena, in the contemporaneity. By understanding Responsible Parenthood in a macro perspective, which is composed of human procreation and teaching, we face the emergence of a possible crisis generated or intensified by the migration process. The proposal of this work is to examine, from a historiographic vision, how these phenomena are related in twentieth century ecclesiastical discourses. To carry out this analysis, we will consider official statements of the Catholic Church and confront them with the concept of crisis in Koselleck, to understand if the migratory crises of the last century would have caused barriers for Responsible Parenthood. © 2023 Iuris Universal Ediciones. All rights reserved.</t>
  </si>
  <si>
    <t>Correa L.E.T.; Tijoux M.E.; Lages R.; Fouillioux M.</t>
  </si>
  <si>
    <t>THE STATE IN HIS BORDER: ARBITRARINESS AND ILEGALITY IN RECENT MIGRATORY POLICIES IN CHILE; [EL ESTADO EN SU FRONTERA: ARBITRARIEDAD E ILEGALIDAD EN LAS POLÍTICAS MIGRATORIAS RECIENTES EN CHILE]</t>
  </si>
  <si>
    <t>Chile; illegalization; Migratory politics; precarious status; racism</t>
  </si>
  <si>
    <t>In recent years, Latin America and the Caribbean have experienced a radicalization of the political conditions for the production of precarious migrant subjects. While in countries of origin the crises that incite the departure of people have intensified, many governments of the receiving countries of the region have taken a turn towards intensifying border control and increasing restrictions on access to rights. The case of Chile is paradigmatic, while it has received a significant migratory flow from the region and has promoted a restrictive migratory reform. In this research we show, on the one hand, that restrictive policies are related to the precariousness and illegalization of migrants, and on the other, how the State, at the government level, deploys them on the basis of arbitrary actions, contrary to international regulations and bordering on legality or directly illegal. © 2022, Dialogo Andino. All Rights Reserved.</t>
  </si>
  <si>
    <t>10.4067/S0719-26812022000200167</t>
  </si>
  <si>
    <t>Correa-Betancour, Marcela; Carstens-Riveros, Carolina; Reyes-Soto, María- Soledad</t>
  </si>
  <si>
    <t>Revalidación de títulos extranjeros en la Facultad de Medicina de la Universidad de Chile</t>
  </si>
  <si>
    <t>Educación Médica Superior</t>
  </si>
  <si>
    <t>international migrations; occupational migration; health workers</t>
  </si>
  <si>
    <t>ABSTRACT Introduction: Chile has established itself as one of the largest migratory destinations in the region, a reason why health professionals’ migration has also increased; in this respect, they must accredit their training before any relevant Chilean authority. For the case of countries without current agreements, the diploma must be revalidated with the University of Chile. Objective: To describe the applications for revalidating diplomas issued by foreign universities corresponding to the eight majors belonging to the School of Medicine at University of Chile. Methods: This is a study designed following the positivist paradigm. Quantitative analysis methods were used, together with descriptive and cross-sectional methods based on secondary sources of information. The sample amounted to 1616 applications for revalidating health-related diplomas issued abroad. A quantitative analysis of descriptive statistics was performed using the STATA 16 software. The main variables considered were country issuing the diploma, diploma to be revalidated, and revalidation status. Once this analysis was completed, it was triangulated with a literary review carried out between June 2018 and April 2019, in order to establish if the description could be interpreted based on the brain drain phenomenon. Results: The majors with the highest application rates for revalidation were Medicine and Nursing. 32.55% of the applications corresponded to diplomas issued by Venezuelan universities; while 17.51% of the total, to Cuban universities, a reason why these are consolidated as the two main ones. Conclusions: Applications for revalidating diplomas have been growing over the years. Health professionals’ migration to Chile is not due to the brain drain phenomenon, but a consequence of the political and social changes in the region, as well as the Chilean political stability since the nineties.</t>
  </si>
  <si>
    <t>Cortés-Martínez C.A.; Gómez-Giraldo J.C.; Cuartas-Barrios J.M.</t>
  </si>
  <si>
    <t>Media Studies and Migration Phenomena: Systematic Review of the Literature from 2011 to 2021; [Estudos de mídia e fenômenos migratórios: uma revisão sistemática da literatura de 2011 a 2021]; [ESTUDIOS MEDIÁTICOS Y FENÓMENOS MIGRATORIOS: UNA REVISIÓN SISTEMÁTICA DE LA LITERATURA DESDE 2011 HASTA 2021]</t>
  </si>
  <si>
    <t>Anuario Electronico de Estudios en Comunicacion Social Disertaciones</t>
  </si>
  <si>
    <t>media audience; media production; media products; Migration; systematic literature review</t>
  </si>
  <si>
    <t>A state of the art describing the main perspectives, findings, methods and theories of communication research focused on migrations during the last decade is absent in the academic literature. This bibliometric analysis of 196 articles in 37 journals, mostly written in Spanish, identified the main publications on communication that contributed to understanding migration. Results of this literature review show that those working in the media attribute the failures of their craft to the lack of training and ethical manuals, indicating that the quality of media products on migration tends to be poor, and that the literature on audiences documents the effects of the media and the perception of migration audiences. These findings suggest an academic bias on Latin American migration phenomena from intersectional perspectives, a lack of ethnographic approaches to media creation processes, that research on products is repetitive, and that although studies on European audiences are plentiful, those on migrant audiences are scarce. The discussion calls for testing these hypotheses and including more Latin American voices in the global conversation on migration. © 2024, Universidad del Rosario. All rights reserved.</t>
  </si>
  <si>
    <t>10.12804/revistas.urosario.edu.co/disertaciones/a.13063</t>
  </si>
  <si>
    <t>Cortés-Urra V.; Ersoy A.; Czischke D.; Gruis V.</t>
  </si>
  <si>
    <t>The potential of collaborative housing to tackle the social deficit of housing: the Chilean case</t>
  </si>
  <si>
    <t>Journal of Housing and the Built Environment</t>
  </si>
  <si>
    <t>Chile; Collaborative housing; Housing policy; Maestranza; Pequeños Condominios; Social deficit of housing; Study cases</t>
  </si>
  <si>
    <t>In recent decades, various programs have been developed as part of Chile’s housing policies to respond to the housing deficit. Most policies have so far focused on addressing the quantitative, qualitative, and urban deficits, neglecting the social dimension of housing. At the same time, the concept of collaborative housing has been referred to as a possible alternative to respond to these social challenges by fostering social cohesion, collaboration, and mutual aid. This article explores how collaborative housing can tackle the social deficit of housing. Here, we conceptualise this deficit as ‘the lack of non-physical or intangible social characteristics given among residents of a project, such as trust, social cohesion, and a sense of community, necessary for housing to be considered adequate.’ We examined the relation between these two concepts by developing a theoretical and empirical study. The first consisted of a theoretical framework and a review of literature on collaborative housing’s response to the social deficit of housing. Second, we interviewed stakeholders from two study cases. We found that residents in both collaborative housing cases perceive an improvement in their social interactions, sociability, trust, and sense of community in their current homes compared to previous homes. Therefore, we conclude that collaborative housing presents opportunities to tackle the social deficit of housing. © The Author(s) 2023.</t>
  </si>
  <si>
    <t>10.1007/s10901-023-10094-2</t>
  </si>
  <si>
    <t>Cortes, Constanza Ambiado; Luarte, VIctor Veloso; Merino, MarIa Emilia Tijoux</t>
  </si>
  <si>
    <t>UNFREE LABOR IN CHILE? MIGRANTS BETWEEN RACISM, VIOLENCE AND DEPENDENCE</t>
  </si>
  <si>
    <t>ANDAMIOS</t>
  </si>
  <si>
    <t>Contemporary migrations; unfree labor; slavery; racism; accumulation by dispossession</t>
  </si>
  <si>
    <t>The abolition of slavery in the Americas in the 19th century was understood as a moral and civilizing transforma-tion of the nascent republics. Critical historiography shows that it was an economic mechanism that contributed to the accumulation of capital, which clandestinely maintained modalities of transat-lantic traffic until the 20th century. Elements of work without freedom can be found today in the labor routes of migrants in Chile. Using qualitative methodologies, we show how the work of migrants is tied to obtaining and keeping identity papers and to the racialization of their labor relations. We conclude that unfree labor for migrants is defined by dependence, violence and racism.</t>
  </si>
  <si>
    <t>10.29092/uacm.v19i48.899</t>
  </si>
  <si>
    <t>Corvalan Nazal, Andrea; Reyes Velasquez, Carlos; Vergara Munoz, Nelson</t>
  </si>
  <si>
    <t>Migrating and being a migrant: Notions of cities of current foreign migrants settled in four cities of southern Chile</t>
  </si>
  <si>
    <t>PAPERS-REVISTA DE SOCIOLOGIA</t>
  </si>
  <si>
    <t>international migration; southern Chile; subjectivity of migrants; experiential sociology; sociology of migrations; grounded theory</t>
  </si>
  <si>
    <t>This article presents the results of a qualitative study which explored the notions of migrating and being a migrant that foreigners settled in four cities of southern Chile (Valdivia, Osorno, Puerto Montt and Castro) have regarding their own migration process. In order to construct a substantive theory derived from the data, the methodology was developed based on the procedural guidelines of Grounded Theory (Strauss and Corbin, 2002) using semi-structured of 21 participants from Europe, Latin American, the Caribbean, Asia and the Middle East. The main results reveal that migration concepts associated with cultural identification processes are related to the voluntary or involuntary obliteration of relational practices of origin in the place of settlement and reproduction as a form of resistance to not lose such practices. Moreover, conceptions of being a migrant built on what participants believe that Chileans think about them reveal that Europeans are valued positively and Latin Americans are valued negatively, nested around physical appearance, skin color and prejudices about trades and/or expected work performance. Likewise, non-migrants and migrants identify themselves as ordinary people in a desire to subvert the dominant classifications that reproduce relations of economic inequality and cultural exclusion. Finally, we conclude that, for the migrants themselves, migration is primarily a process of growth and personal enrichment regardless of the reasons for departure and the material or emotional conditions experienced in the place of settlement.</t>
  </si>
  <si>
    <t>10.5565/rev/papers.2346</t>
  </si>
  <si>
    <t>Course, Magnus</t>
  </si>
  <si>
    <t>The Clown Within: Becoming White and Mapuche Ritual Clowns</t>
  </si>
  <si>
    <t>COMPARATIVE STUDIES IN SOCIETY AND HISTORY</t>
  </si>
  <si>
    <t>This essay takes the antics of ritual clowns, koyong, as an entry point into the ways in which rural Mapuche people in southern Chile come to understand and reflect upon the inevitability of urban migration and the becoming white which this migration is said to imply. Utilizing both my own ethnographic data and comparative data from elsewhere in the Americas, I explore the striking continuities in the associations of indigenous ritual clowns: associations with poverty, with uncontrolled bodily desires, with dual ritual performances, and perhaps most significantly, with white people. I suggest that the moral indictment of the becoming white instantiated by clowns in their ritual performances emerges from their identities as people who in everyday life are denigrated as too Mapuche. Thus, far from being yet another example of indigenous people's agency in mimetically co-opting the vitality of white others, I suggest that clowns are one of the means by which rural Mapuche people come to understand precisely their own lack of agency in the face of Chilean colonialism</t>
  </si>
  <si>
    <t>10.1017/S0010417513000418</t>
  </si>
  <si>
    <t>Covarrubias A.P.</t>
  </si>
  <si>
    <t>Critical frameworks of an urban emergence of Mapuche people. Chilean postdictatorship and its indigenous symptom; [Condiciones críticas de la emergencia Mapuche urbana. Chile de postdictadura y su "síntoma" indígena]</t>
  </si>
  <si>
    <t>Athenea Digital</t>
  </si>
  <si>
    <t>Chile; City; Mapuche; Post-dictatorship</t>
  </si>
  <si>
    <t>This article develops some socio-historical and political-cultural coordinates which allow for a critical understanding of the conditions of subjectivity process emergence of indigenous Mapuche from the city, within a framework of the postdictatorship "cultural hegemony" in Chile. Starting with an interdisciplinary approach to the phenomenon of forced migration, to the situation of the Mapuche in the city, and to the return of the "Indigenous Question" during the nineties in Latin America, it interrogates the structural framework these urban process were based on. Thus, it identifies the "necessary" conjunction between the constitutive violence of the Chilean nation-state sovereign with the ever-increasing advancement of the pattern of capital accumulation. From there, it argues that it is possible to be observed in the conditions of irruption of these urban indigenous processes, tensions of the continual renovation of the mentioned link that operates as a matrix of territorialization, "othering", and dispossession. This in light of multiculturalism as its ideological device of legitimation and domination. © 2018 Andrés Pereira Covarrubias.</t>
  </si>
  <si>
    <t>10.5565/rev/athenea.1987</t>
  </si>
  <si>
    <t>Covarrubias, Matias; Lafortune, Jeanne; Tessada, Jose</t>
  </si>
  <si>
    <t>WHO COMES AND WHY? DETERMINANTS OF IMMIGRANTS SKILL LEVEL IN THE EARLY XXTH CENTURY US</t>
  </si>
  <si>
    <t>JOURNAL OF DEMOGRAPHIC ECONOMICS</t>
  </si>
  <si>
    <t>immigration selection; high-skilled migration; mass migration era</t>
  </si>
  <si>
    <t>This paper first elaborates a model of intermediate selection where potential migrants must have both the resources to finance the migration cost (liquidity constraint restriction) and an income gain of migrating (economic incentives restriction). We then test the predictions of the model regarding the impact of output in the sending country and migration costs on average skill level of immigrants to the United States from 1899 to 1932, where immigration was initially unrestricted by law and then highly limited. Our panel of 39 countries includes data on occupations that immigrants had in their country of origin, providing a more accurate skill measure than previously available datasets. We find that migration costs have a negative but skill-neutral effect on quantity of immigrants and an increase in output, measured as GDP per capita, has a positive effect on quantity and a negative effect on average skill level of immigrants, suggesting that the main channel by which changes in output affected the average skill level of migrants in that time period is through the easing or tightening of the liquidity constraints and not through the economic incentives as in previous models. Also, using migrants' occupation in the United States as a measure of skills would lead to misleading conclusions.</t>
  </si>
  <si>
    <t>10.1017/dem.2014.17</t>
  </si>
  <si>
    <t>Cristoffanini M.T.; Samaranch E.A.</t>
  </si>
  <si>
    <t>Single motherhood and gender imaginaries in migratory contexts: A standpoint feminist epistemology for the study of migrations; [Monomarentalidad e imaginarios de género en contexto migratorio: Punto de vista epistemológico feminista en el estudio de las migraciones]</t>
  </si>
  <si>
    <t>Empiria</t>
  </si>
  <si>
    <t>Feminist epistemology; Gender; Migration; Single motherhood</t>
  </si>
  <si>
    <t>This article proposes a critical approach to the study of migration from feminist epistemology point of view, in order to understand the weight of gender structures in the migration experience. A qualitative research is done to explore imaginary of gender in Latin American women that currently living in Barcelona and that are single-mother, analyzing possible changes in relation to the experiences in the immigration context. The main results indicate that there is transformations of traditional gender imaginary, while not questioning the traditional bases root associated with femininity, do affect their experiences of motherhood and their experiences as women in migratory context. Thus, it is considered that migration experiences enhance mobilization towards less traditional views of femininity and motherhood, configured as an empowering experience for women.</t>
  </si>
  <si>
    <t>Crocker R.M.; Reineke R.C.; Ramos Tovar M.E.</t>
  </si>
  <si>
    <t>Ambiguous Loss and Embodied Grief Related to Mexican Migrant Disappearances</t>
  </si>
  <si>
    <t>Medical Anthropology: Cross Cultural Studies in Health and Illness</t>
  </si>
  <si>
    <t>ambiguous loss; Disappearance; embodiment; emotion; migration</t>
  </si>
  <si>
    <t>Since the 1990s, thousands of Latin Americans have died or disappeared along the US-Mexico border, following the funneling of migration through remote desert regions. The families of missing migrants face long-term “ambiguous loss,” a lived experience in which a loved one is physically absent but psychologically present. Mexican relatives of the missing in Arizona and Sonora report that these losses produce deep emotional suffering along a timeline–worrying about the crossing, learning of the disappearance, beginning to search, and finally, coping with the long-term impacts of unknowing. Close relatives experience embodied health effects including headaches, insomnia, anxiety, depression, and chronic disease. © 2020 Taylor &amp; Francis Group, LLC.</t>
  </si>
  <si>
    <t>10.1080/01459740.2020.1860962</t>
  </si>
  <si>
    <t>Cruz Saco, Maria Amparo</t>
  </si>
  <si>
    <t>Inequality and Exclusion in Latin America: Health Care Commodification, Gendered Norms, and Violence</t>
  </si>
  <si>
    <t>SOCIAL INCLUSION</t>
  </si>
  <si>
    <t>Chile; feminism; gender income gap; Guatemala; health care privatization; inequality; Latin America; old age; Peru; South-South migration</t>
  </si>
  <si>
    <t>Since the early 1990s, a market-orientated policymaking in Latin American countries did nothing to secure decent and productive jobs or eliminate gender inequities. It served, rather, to limit social investments that were needed to increase wellbeing, social cohesion, and, eventually, productivity. The pioneering scholarly work of the authors in this thematic issue, using either qualitative or quantitative methodologies, deepens our interdisciplinary understanding of the causes and dynamics of inequality and exclusion in these countries. Contributions are organized in three dimensions: (a) the commodification of health care, (b) gendered social norms, and (c) fragile life and violence. Based on our authors' findings and suggestions, an agenda for change emerges that emphasizes autonomy from external pressures, community action and representation, eradication of the patriarchy, and expansion of social protection programs.</t>
  </si>
  <si>
    <t>10.17645/si.v10i1.5240</t>
  </si>
  <si>
    <t>Cruz-Martínez G.</t>
  </si>
  <si>
    <t>Rethinking universalism: Older-age international migrants and social pensions in Latin America and the Caribbean</t>
  </si>
  <si>
    <t>Global Social Policy</t>
  </si>
  <si>
    <t>Migration; non-contributory pensions; QCA; social policy; social protection; targeting</t>
  </si>
  <si>
    <t>This article criticises the social policy literature for equating universalism to the universal coverage of citizens. The current so-called ‘universal’ social protection systems guarantee social citizen rights, while the revisited truly universalism guarantees social human rights for everyone. Crisp-set qualitative comparative analysis (csQCA) is used to map and track the level of exclusiveness or inclusiveness into social pensions in the existing 30 social pension programmes on 28 Latin American and Caribbean (LAC) countries. The article examines the various paths of eligibility requirements in social pensions conditioning three specific outcomes: (1) access for every older-age individual (truly universal), (2) access for every category of immigrant (no targeting by citizenship or residency) and (3) access for older-age immigrants with legal resident status (targeting by residency but not by citizenship). The research makes several contributions. First, it offers a useful inventory of the eligibility requirements for access to the 30 social pensions in LAC. Second, it proposes an analytical framework to redefine universalism after considering the migration-social policy nexus. Contrary to what the literature claims, there are no universal social pensions in the region. Third, the analysis indicates that only in two countries, Cuba and Jamaica, social pensions have immigrant-friendly targeting rules, requiring neither citizenship nor any length of residency to become a beneficiary. A total of 12 countries require citizenship and 24 of them a certain number of years of residency. Moreover, the overwhelming majority of social pensions are means tested. Finally, the csQCA allows identifying patterns of targeting mechanisms and is used to propose five exploratory regimes of inclusionary social pensions. The article calls for protected international mobility of the older-age population in the form of a truly universalistic system in which the entire aged population has the right to a social pension. Only then, countries would truly adhere to Article 22 of the Universal Declaration of Human Rights. © The Author(s) 2019.</t>
  </si>
  <si>
    <t>10.1177/1468018119873267</t>
  </si>
  <si>
    <t>Cuadrado, Cristobal; Libuy, Matias; Moreno-Serra, Rodrigo</t>
  </si>
  <si>
    <t>What is the impact of forced displacement on health? A scoping review</t>
  </si>
  <si>
    <t>HEALTH POLICY AND PLANNING</t>
  </si>
  <si>
    <t>Displaced populations; immigrants; health outcomes; econometrics; impact; reproductive health; research methods</t>
  </si>
  <si>
    <t>While there is a broad literature analysing the effects of migration on health, important knowledge gaps persist particularly on the causal effects of forced displacement on health outcomes. We undertake a scoping review of applied epidemiological, statistical and econometric studies examining causal health impacts of forced displacement, which initially identified 1454 studies from the health and social sciences disciplines published up to May 2021. Our study makes two key contributions. First, we offer a comprehensive overview of the evidence generated, methodologies adopted and analytical challenges faced by current research examining the causal relationship between forced displacement and health. Second, we present concrete examples of how key challenges around study design and estimation approaches influence the strength of the evidence-base on the topic, using as a case study the broad domain of reproductive health. We find that, beyond the increased mortality risk that can be attributed to forced displacement, most of the available empirical evidence for a wide range of health outcomes is prone to substantial bias, making it difficult to draw firm conclusions. Our synthesis of credible studies conducted in different settings indicates that current research practice in the field could be strengthened through selection of valid control groups and application of more appropriate causal inference methods. Our findings are useful to promote the generation of further evidence on the topic that can reliably inform the design of policies to protect the health of displaced populations.</t>
  </si>
  <si>
    <t>10.1093/heapol/czad002</t>
  </si>
  <si>
    <t>Cubillos-Almendra J.; González-Pavicich C.; Contreras-Hernández P.</t>
  </si>
  <si>
    <t>Intersectionality. A Theoretical-methodological Device for the Study of Migration; [Interseccionalidad. Un dispositivo teórico-metodológico para el estudio de las migraciones]</t>
  </si>
  <si>
    <t>Chile; Coloniality of gender; Feminist epistemology; International migration; Intersectionality</t>
  </si>
  <si>
    <t>Feminist epistemological contributions have highlighted the need to re-signify and reinvent the methodological devices of the social sciences. In this context, this paper proposes intersectionality as a theoretical-methodological device for studying migration. We approach intersectionality from Coloniality of Gender, which allows us to deepen our understanding of the historical and contextual factors that enhance the dynamics of inequality, exclusion, and vulnerability in the immigrant collective. To illustrate the analytical value, we analyze four interviews conducted with immigrant women in the Maule Region (Chile). The findings highlight that intersectionality enriches the analysis, emphasizing the interweaving of identity factors, migratory experiences, and political-institutional conditions. © 2023, Universidad Austral de Chile. All rights reserved.</t>
  </si>
  <si>
    <t>10.4206/rev.austral.cienc.soc.2023.n44-07</t>
  </si>
  <si>
    <t>Da Silva M.; Martin L.</t>
  </si>
  <si>
    <t>Migration, differentiation and affects: Traces of inequities in a public school in Montevideo; [Migración, diferenciación y afectos: Rastros de inequidades en una escuela pública de Montevideo]</t>
  </si>
  <si>
    <t>Psicoperspectivas</t>
  </si>
  <si>
    <t>Childhood; education; emotion; migration</t>
  </si>
  <si>
    <t>In this work we analyze the conditions of inequality, racialization and differentiation experienced by migrant children from the theoretical perspective of the feminist affective turn and through a qualitative study with an ethnographic approach in a public school in the city of Montevideo. We discuss bias-based points of view regarding the origins of contemporary migrations in Uruguay, teacher perceptions about uprooting and its effects on educational proposals aimed at migrant school population. We conclude with the need to expand the margins of recognition and the importance of interdependence as a political key to advance in educational transformations that contemplate human mobility in education. © 2022 Pontificia Universidad Catolica de Valparaiso. All rights reserved.</t>
  </si>
  <si>
    <t>10.5027/psicoperspectivas-vol21-issue1-fulltext-2490</t>
  </si>
  <si>
    <t>Dahlstedt I.; Bevelander P.</t>
  </si>
  <si>
    <t>General versus vocational education and employment integration of immigrants in Sweden</t>
  </si>
  <si>
    <t>Employment acquisition; Human capital; Immigrants; Professional education; Vocational education</t>
  </si>
  <si>
    <t>This article investigates the effect of human capital on the employment acquisition of foreign-born men and women in Sweden. Besides categorizing different levels of education, a distinction is made between type of education, general and vocational, and where education is obtained, home or host country. The data used is based on register data for the year 2003 held by Statistics Sweden. The population under consideration is the total population subdivided by the following countries of birth: Sweden, Former Yugoslavia, Bosnia and Herzegovina, Poland, Romania, Chile, Germany, Iraq, Iran, and Lebanon. The analysis shows that foreign-born individuals have a higher probability of employment with a vocational and host country education as opposed to a general and home country education. © Taylor &amp; Francis Group, LLC.</t>
  </si>
  <si>
    <t>10.1080/15562948.2010.480879</t>
  </si>
  <si>
    <t>Dammert-Guardia, Manuel; Dammert, Lucia; Sarmiento, Katherine</t>
  </si>
  <si>
    <t>Human trafficking in the Andean region: Socio-spatial dynamics in the Peruvian borders</t>
  </si>
  <si>
    <t>ICONOS</t>
  </si>
  <si>
    <t>borders; migration; Andean countries; human trafficking; vulnerability; Peru</t>
  </si>
  <si>
    <t>Human trafficking is an illegal activity that harms the dignity and freedom of thousands of people, many of them women; but which is still not a priority in public debates and about which there is still little information. This article explores the socio-spatial dynamics of human trafficking on the national borders of Peru, as a contribution to the study of the complex relationships that exist between criminal activity and territory. The analysis of human trafficking in the borders between Peru and Ecuador and between Peru and Bolivia during the period 2000-2014 is based on a hemcrographic review, statistical information generated by government sources competent in the matter and secondary data produced by international organizations. The article argues that borders constitute a strategic site for human trafficking in four different ways: i) they allow the formation of circuits, stages and itineraries that: ii) facilitate the incorporation of this criminal activity as a part of local life iii) they increase the dangers and vulnerabilities of cross-border migration and iv) they reveal the systemic connections of this illegal market to global processes.</t>
  </si>
  <si>
    <t>10.17141/iconos.68.2020.4043</t>
  </si>
  <si>
    <t>Dammert, Lucía; Erlandsen, Matthias</t>
  </si>
  <si>
    <t>Migración, miedos y medios en la elección presidencial en Chile (2017)</t>
  </si>
  <si>
    <t>CS</t>
  </si>
  <si>
    <t>Migration; Media; Punitive Populism; Imagined Community; Chile</t>
  </si>
  <si>
    <t>Abstract Migration has been defined as the threatening other in Latin America; Chile is no exception. Based on the conceptualization of the imagined community, this article analyzes the importance and characteristics of press media coverage on migration and punitive populism in the framework of the Presidential election of 2017 in Chile. A random sample of all the informative pieces of the two main newspapers throughout 2017 was analyzed. Migration has become a topic of national debate. The media show a political discourse focused on punitive populism, the unnecessary generalization of stigmatizing images, and the consolidation of a metaphor that links migration with danger, mainly criminality. The more chronic-oriented than analysis-oriented characteristic of the coverage makes it possible to emphasize in the threatening and politically profitable images. Possibly trying to protect that community that the political discourse constantly highlights.</t>
  </si>
  <si>
    <t>31</t>
  </si>
  <si>
    <t>10.18046/recs.i31.3730</t>
  </si>
  <si>
    <t>Datta K.; Aznar C.</t>
  </si>
  <si>
    <t>The space-times of migration and debt: Re-positioning migrants’ debt and credit practices and institutions in, and through, London</t>
  </si>
  <si>
    <t>Geoforum</t>
  </si>
  <si>
    <t>Credit; Debt; Migrants; ROSCAs; Space; Time</t>
  </si>
  <si>
    <t>This paper interrogates the space-times of migration and debt in, and through, the global city of London. It advances three key arguments. First, we argue that migration must be understood as a financial practice situated within specific space-times thus highlighting the destructive debt implications of current migration policies. Second, exploring debt through a migration lens problematizes its spatial and temporal boundaries. In both its guise as a debt advice industry and resistance, the focus is largely on formal debts situated within territorially bounded nation-states. Yet, migrants’ debt ecologies traverse myriad boundaries such that formal/informal, economic/social and market/nonmarket debts are folded into, and sit alongside, each other. Third we argue that spatial and temporal explorations of the migration-debt nexus potentially affords new insight into the politics of migration and debt. Drawing upon research with migrants from Somalia, the Democratic Republic of Congo, Cameroon and Brazil, we explore how debt shapes migration; the creation, management and resolution of ‘new’ formal debts in London and migrants’ participation in and creation of Rotating Savings and Credit Associations (ROSCAs) in the city. The paper concludes by identifying broader lessons which can be drawn from migrants debt relations in configuring spatial and temporal politics of debt and credit. © 2018</t>
  </si>
  <si>
    <t>10.1016/j.geoforum.2018.07.009</t>
  </si>
  <si>
    <t>David Á.-M.; Patricio T.-L.; Manuel L.-P.; Luis A.-C.</t>
  </si>
  <si>
    <t>Consensus map of the well-being of immigrants in Lo Prado in Santiago de Chile; [Mapa de consenso del bienestar de inmigrantes en Lo Prado en Santiago de Chile]</t>
  </si>
  <si>
    <t>Chile; Chile.; Consensus map; Immigrants; Immigrants; Lo prado; Lo prado; Well-being</t>
  </si>
  <si>
    <t>Migration is of relevance for the authorities of the Lo Prado commune in Santiago de Chile, facing the problem of designing local services that address the immigrant population with the requirement ofknowing the users of public benefits. The objective of the work is to describe the subjectivities associatedwith the well-being of the local immigrant population benefiting from municipal services in a consensus mapthat represents their common characteristics, through the analysis of the information provided by a sampleof twelve key informants, selection by targeted convenience. by the authorities of the Lo Prado commune.An inductive and empirical research methodology is developed, with a qualitative approach of descriptivescope, which applies marketing techniques, collecting data through in-depth semi-structured interviews,based on projective procedures on images and drawings, in order to answer the question about the subjectivecharacteristics of the immigrant population. The results show the centrality of issues on obtaining economicincome and the satisfaction of basic needs in the framework of family and entrepreneurial activities. It isconcluded that there are basic unmet needs associated with the relevance of designing relevant public services © 2021, Revista de Ciencias Sociales. All Rights Reserved.</t>
  </si>
  <si>
    <t>10.31876/rcs.v27i4.37279</t>
  </si>
  <si>
    <t>David Amaya-Espinel, Juan; Hostetler, Mark E.</t>
  </si>
  <si>
    <t>The value of small forest fragments and urban tree canopy for Neotropical migrant birds during winter and migration seasons in Latin American countries: A systematic review</t>
  </si>
  <si>
    <t>LANDSCAPE AND URBAN PLANNING</t>
  </si>
  <si>
    <t>Habitat remnants; Urban areas; Residential areas; Fall/spring migration; Stopover habitat</t>
  </si>
  <si>
    <t>Avian studies have explored how development and landscape fragmentation leads to a loss of native avifauna, particularly migrants during the breeding season. However, during the winter and migration seasons, cities and surrounding fragmented areas could provide habitat for a variety of migrating birds. Unfortunately, much of the information on the occurrence of migrant species in cities has been concentrated in United States/Canada and little is known about the role of Neotropical cities. We performed a systematic review of the occurrence of forest Neotropical Migrant Bird Species (NMB) in small forest fragments and residential areas with urban tree canopy in Latin American countries during fall/spring migration and winter. We identified a total of 58 forest NMB from 19 studies, including 45 Nearctic Migrants and 12 Austral Migrants, and 54 NMB were found in small urban/rural fragments (0.5-19.6 ha) and 30 were found in residential areas. In addition, six NMB considered as interior-forest specialists during the breeding season in United States/Canada were found using small forest fragments or residential areas during fall/spring migration and winter. This suggests that for some interior-forest specialists, breeding in large forested areas does not preclude their use of fragmented areas as stopover and wintering sites. Urban and rural forest fragments and residential areas could serve as habitat for NMB in and around Neotropical cities, but more research is needed to determine whether fragmented habitats are used by a variety of NMB during migration and winter seasons.</t>
  </si>
  <si>
    <t>10.1016/j.landurbplan.2019.103592</t>
  </si>
  <si>
    <t>Davis D.E.; Keating A.M.</t>
  </si>
  <si>
    <t>Development and Urbanization</t>
  </si>
  <si>
    <t>International Encyclopedia of the Social &amp; Behavioral Sciences: Second Edition</t>
  </si>
  <si>
    <t>Africa; Cities; Decentralization; Democratization; Demographic explosion; Development; East Asia; Economic liberalization; Globalization; Governance; Industrialization; Informality; Latin America; Migration; Primacy; Property rights; Rank-size distribution; Real estate development; Rural decline; South Asia; Territorial rescaling; Urban bias; Urbanization</t>
  </si>
  <si>
    <t>This article examines the interrelationship between economic prosperity and the growth of cities, tracing the field from its original preoccupation with overurbanization and underdevelopment in the 1950s and 1960s to its current fixation on dynamic global cities with redeveloped property markets that showcase new forms of wealth creation. The historical change in emphasis chronicled here is understood to be combined product of three different causalities. The first is the shift from industrialization to financial and other services as the principal source of wealth creation in the post-1980s era. The second is the changing territorial scale of accumulation, reflected in the shifting importance of global markets vis-à-vis national markets and in the increasingly key mediating role that cities play in facilitating this transition. The third is the rescaling of state power, seen not just in terms of decentralization but also in the declining capacities of national states to discipline global investors in an era of intensifying economic liberalization. The article ends with a discussion of the emergent social and spatial problems that accompany these shifts, ranging from the rise of urban informality to dispossession and displacement to newfound struggles over urban property rights. © 2015 Elsevier Ltd. All rights reserved.</t>
  </si>
  <si>
    <t>10.1016/B978-0-08-097086-8.10102-3</t>
  </si>
  <si>
    <t>de Jesus-Bretschneider A.</t>
  </si>
  <si>
    <t>Migrating towards vulnerabilities: The impacts of structural violence on myanmar migrants in phuket, Thailand</t>
  </si>
  <si>
    <t>Urban Book Series</t>
  </si>
  <si>
    <t>Climate resilience; Migration; Myanmar; Phuket; Structural violence; Thailand</t>
  </si>
  <si>
    <t>The concept of climate resilience is widely criticized for its neutral and apolitical approach to planning for climate change. Resilience practitioners typically conduct vulnerability assessments to identify how institutions, systems, and actors are at risk from climate change. They mainly focus on climate exposure, sensitivity, and the adaptive capacities of essential infrastructure systems such as settlement areas, water supply networks, and food systems. Resilience practitioners do not emphasize the inherently political nature of vulnerability and the broader social structures that create or reinforce vulnerabilities, especially for marginalized people. My research on the lives of 80 Myanmar migrants in Phuket, Thailand, serves as a case study for the importance of taking a directly political approach to planning for climate resilience. I provide empirical evidence on the vulnerabilities of Myanmar migrants in Phuket, Thailand, as embodied structural violence. People who are underrepresented in policymaking and planning processes in Thailand, including Myanmar migrants, often bear the disproportionate costs of climate change. Thus, resilience practitioners must advocate for an explicitly political, inclusive, and participatory approach that incorporates the experiences and knowledge of all people. © 2019, Springer Nature Switzerland AG.</t>
  </si>
  <si>
    <t>10.1007/978-3-319-98968-6_4</t>
  </si>
  <si>
    <t>De Luca G.</t>
  </si>
  <si>
    <t>Electoral registration and the control of votes: The case of Chile</t>
  </si>
  <si>
    <t>Electoral Studies</t>
  </si>
  <si>
    <t>Chile; Electoral registration; Secret ballot; Vote coercion</t>
  </si>
  <si>
    <t>We investigate how the employment relationship may lead employers to control the voting behavior and to induce the electoral registration of their workers. Forced registration and the control of votes become feasible when voting behavior is observable, as in open ballot elections. Workers whose vote is controlled are more likely to be registered as compared to other eligible voters, increasing their impact on electoral outcomes. Increasing the secrecy of the vote (for instance with the adoption of a secret ballot) significantly reduces the control of votes. Electoral registration, however, remains biased as long as the probability of voting behavior disclosure induces less ideologically motivated voters to comply with the political preference of the employer. We provide empirical support for the predictions of the model examining the effects of the introduction of the secret ballot in Chile in 1958. © 2013 Elsevier Ltd.</t>
  </si>
  <si>
    <t>10.1016/j.electstud.2013.10.006</t>
  </si>
  <si>
    <t>De Marchi Moyano, Bianca; Alvites Baiadera, Angelica</t>
  </si>
  <si>
    <t>The Inverted Wall: Ditches on the Border between Chile and Bolivia</t>
  </si>
  <si>
    <t>GEOPOLITICAS-REVISTA DE ESTUDIOS SOBRE ESPACIO Y PODER</t>
  </si>
  <si>
    <t>Borders; ditches; mobility; border landscape; control</t>
  </si>
  <si>
    <t>The purpose of this article is to understand how the ditches dug by the Chilean governments, on the international border between Colchane (Chile) and Pisiga Bolivar (Bolivia), from September 2017 to July 2022, were articulated to the discourse on migrations. and they transformed the landscape, control modes and crossing strategies in the region. For this, we apply a qualitative methodology of documentary and newspaper review in both countries, as well as field work (field notes, observation, testimonies and photographs). Our text concludes that the trenches analyzed can be interpreted as inverted walls, of low cost and great plasticity, which make up a mobile border landscape and constitute defensive and protection devices against non-state transnational agents, understood as threats. Likewise, its paradoxical condition is highlighted: while the ditches are projected with the purpose of reaffirming power and expressing state control over a territory, they highlight its weakness given its mere existence and operational inefficiency.</t>
  </si>
  <si>
    <t>10.5209/geop.83407</t>
  </si>
  <si>
    <t>de Menezes A.R.</t>
  </si>
  <si>
    <t>Chilean Refugees in the UK</t>
  </si>
  <si>
    <t>[No abstract available]</t>
  </si>
  <si>
    <t>10.1093/jrs/feaa127</t>
  </si>
  <si>
    <t>De Mola C.L.; Stanojevic S.; Ruiz P.; Gilman R.H.; Smeeth L.; Miranda J.J.</t>
  </si>
  <si>
    <t>The effect of rural-to-urban migration on social capital and common mental disorders: PERU MIGRANT study</t>
  </si>
  <si>
    <t>Mental health; Migration; Peru; Social capital</t>
  </si>
  <si>
    <t>Objective: This study aims to investigate whether there are differences in the prevalence of common mental disorders and social capital between migrant and non-migrant groups in Peru. Methodology The PERU MIGRANT study is a crosssectional study comprising three groups: an urban group from a shanty town in Lima; a rural group from a community in Ayacucho-Peru; and a migrant group originally from Ayacucho currently living in the same urban shanty town. Common mental disorders were assessed using the General Health Questionnaire (GHQ-12), and social capital was assessed using the Short Social Capital Assessment Tool (SASCAT). Poisson regression with robust standard errors was used to estimate prevalence ratios. Results: The overall prevalence of common mental disorders was 39.4%; the highest prevalence was observed in the rural group. Similar patterns were observed for cognitive social capital and structural social capital. However after adjustment for sex, age, family income and education, all but one of the significant relationships was attenuated, suggesting that in this population migration per se does not impact on common mental health disorders or social capital. Conclusions: In the PERU MIGRANT study, we did not observe a difference in the prevalence of common mental disorders, cognitive and structural social capital between migrant and urban groups. This pattern of associations was also similar in rural and urban groups, except that a higher prevalence ratio of structural social capital was observed in the rural group. © Springer-Verlag 2011.</t>
  </si>
  <si>
    <t>10.1007/s00127-011-0404-6</t>
  </si>
  <si>
    <t>de Mora F.O.; Terrón-Caro T.</t>
  </si>
  <si>
    <t>Violation of the Human Rights of international migrant women during the migratory journey: systematic review; [Violación de los Derechos Humanos de mujeres migrantes internacionales durante el trayecto migratorio: revisión sistematizada]</t>
  </si>
  <si>
    <t>Revista Espanola de Educacion Comparada</t>
  </si>
  <si>
    <t>borders; Gender Issues; Human Rights; migration; review</t>
  </si>
  <si>
    <t>Given the growing feminization of international migration and the identity that characterizes the migratory processes developed by women, the objective of this article is to analyze the publications that have been made from 2016 to the present on the violation of Human Rights suffered by women during the international migratory journey in order to make this reality visible. For this, a systematic review has been developed in four databases: Web Of Science, Scopus, ProQuest and ScienceDirect. The results have shown the scarcity of investigations that have been carried out on the matter, the constant violation of Human Rights suffered by women during migration and border crossing, as well as the lack of measures adopted. This shows the need to continue investigating, especially from a comparative and international perspective, to propose a governance system that ensures the achievement of the Human Rights of migrant women. © 2023 Revista Espanola de Educacion Comparada. All rights reserved.</t>
  </si>
  <si>
    <t>10.5944/reec.43.2023.37360</t>
  </si>
  <si>
    <t>de Reguero, Sebastian Umpierrez; Jakobson, Mari-Liis</t>
  </si>
  <si>
    <t>Explaining support for populists among external voters: between home and host country</t>
  </si>
  <si>
    <t>EUROPEAN POLITICAL SCIENCE</t>
  </si>
  <si>
    <t>External voting; Populism; Electoral preferences; Non-resident citizens; Migration</t>
  </si>
  <si>
    <t>Contributing to the emerging debate on non-resident citizens' electoral preferences, this article addresses how migratory contexts affect their propensity to vote for populists. Employing two original datasets with information of external voting results from Latin America and Southern Europe, this study suggests that while external voters are on average slightly less likely to vote for populists than domestic voters, this varies meaningfully from country to country. It depends on the type of populism, populists' incumbency, and the ideological preferences in the country of residence.</t>
  </si>
  <si>
    <t>10.1057/s41304-022-00403-8</t>
  </si>
  <si>
    <t>de Reguero, Sebastian Umpierrez; Peltoniemi, Johanna</t>
  </si>
  <si>
    <t>Introduction: Non-residents' participation in the homeland arena from a European perspective</t>
  </si>
  <si>
    <t>Political participation; Electoral mobilisation; Diaspora; Non-resident citizens; Europe</t>
  </si>
  <si>
    <t>Ever-increasing international migration has challenged the democratic dimension of political inclusion, especially with incorporating non-resident populations into national electoral practices. This has stimulated scholars to examine more closely the processes of emigrant enfranchisement, transnational voting behaviour and non-electoral participation by non-residents. Yet, a lack of comprehensive dialogue exists between migration studies and the literature on political participation. By combining these theoretical avenues, this special issue fills the gap in connecting the trajectories of non-resident citizens, co-ethnics and/or second-generation migrants with (perceived) homeland politics. We focus on specific European country cases both from a cross-regional perspective and by using a case study strategy in homeland and residence country contexts to respond to a set of previously unanswered research questions.</t>
  </si>
  <si>
    <t>10.1057/s41304-022-00405-6</t>
  </si>
  <si>
    <t>de Vries D.H.; Steinmetz S.; Tijdens K.G.</t>
  </si>
  <si>
    <t>Does migration 'pay off' for foreign-born migrant health workers? An exploratory analysis using the global WageIndicator dataset</t>
  </si>
  <si>
    <t>Human Resources for Health</t>
  </si>
  <si>
    <t>Discrimination; Drivers; Health worker; Migration; Routes; WageIndicator; Wages</t>
  </si>
  <si>
    <t>Background: This study used the global WageIndicator web survey to answer the following research questions: (RQ1) What are the migration patterns of health workers? (RQ2) What are the personal and occupational drivers of migration? (RQ3) Are foreign-born migrant health workers discriminated against in their destination countries? Methods: Of the unweighted data collected in 2006-2014 from health workers aged 15-64 in paid employment, 7.9 % were on migrants (N = 44,394; 36 countries). To answer RQ1, binary logistic regression models were applied to the full sample. To answer RQ2, binary logistic regression was used to compare data on migrants with that on native respondents from the same source countries, a condition met by only four African countries (N = 890) and five Latin American countries (N = 6356). To answer RQ3, a multilevel analysis was applied to the full sample to take into account the nested structure of the data (N = 33,765 individual observations nested within 31 countries). Results: RQ1: 57 % migrated to a country where the same language is spoken, 33 % migrated to neighbouring countries and 21 % migrated to former colonizing countries. Women and nurses migrated to neighbouring countries, nurses and older and highly educated workers to former colonizing countries and highly educated health workers and medical doctors to countries that have a language match. RQ2: In the African countries, nurses more often out-migrated compared to other health workers; in the Latin American countries, this is the case for doctors. Out-migrated health workers earn more and work fewer hours than comparable workers in source countries, but only Latin American health workers reported a higher level of life satisfaction. RQ3: We did not detect discrimination against migrants with respect to wages and occupational status. However, there seems to be a small wage premium for the group of migrants in other healthcare occupations. Except doctors, migrant health workers reported a lower level of life satisfaction. Conclusions: Migration generally seems to 'pay off' in terms of work and labour conditions, although accrued benefits are not equal for all cadres, regions and routes. Because the WageIndicator survey is a voluntary survey, these findings are exploratory rather than representative. © 2016 The Author(s).</t>
  </si>
  <si>
    <t>10.1186/s12960-016-0136-5</t>
  </si>
  <si>
    <t>Del Real, Deisy</t>
  </si>
  <si>
    <t>Gradations of Migrant Legality: The Impact of States' Legal Structures and Bureaucracies on Immigrant Legalization and Livelihoods</t>
  </si>
  <si>
    <t>gradations of migrant legality; immigrant legalization; Venezuelan migration</t>
  </si>
  <si>
    <t>Immigrant legalization scholarship assumes that immigrants with non-tenuous legal statuses-with ostensible pathways to citizenship-smoothly transition into enduring legality. However, under-studied features of the legal structure and bureaucracy likely disrupt their legalization. Thus, the present article introduces the concept of gradations of migrant legality to examine how multilayered, embedded interactions between the state's immigration regime, the structure of legalization opportunities, and the permeability of application procedural standards impact immigrants' legalization transitions. The study draws on in-depth interviews to compare Venezuelan migrants' non-tenuous legalization process in Argentina and Chile. Whereas Argentina has an inclusionary immigration regime, legalization opportunity structure, and procedural standards, Chile has an exclusionary one. Despite these contrasting trends, both countries have had some inclusionary and exclusionary executive administrative measures. Findings show smooth transitions were possible in both countries when procedural standards were predictable and state bureaucrats eased obstructive requirements. However, disruptive transitions occurred when digitalization changed procedural standards, visa categories required self-sufficiency, and administrative actions imposed cumbersome requirements. Disruptive transitions were more prevalent and harmful to immigrants in Chile because most visa categories (under the law and administrative actions) required formal employment. In contrast, disruptive transitions were less prevalent and harmful to Venezuelan migrants in Argentina because they could access the Mercosur Residency Agreement, which protected their livelihood by not requiring proof of economic solvency. Broadly, the gradations of migrant legality framework shows that different organizational levels interact and have compounding, unequal effects on immigrants, including those with visa categories that provide seemingly straightforward pathways to citizenship.</t>
  </si>
  <si>
    <t>10.1177/01979183231223700</t>
  </si>
  <si>
    <t>del Solar A.V.; Sepúlveda-Galeas M.</t>
  </si>
  <si>
    <t>Cultural ambivalence about divorce in children and adults’ discourses; [Ambivalências culturais sobre o divórcio nos discursos das crianças e dos adultos]; [Ambivalencias culturales sobre el divorcio en discursos de niños, niñas y adultos]</t>
  </si>
  <si>
    <t>childhood; Chile; cultural studies; discourses; divorce; Family</t>
  </si>
  <si>
    <t>This article illustrates some of the cultural ambivalence about parental divorce in the discourse produced by children and adults using conceptual tools provided by British cultural studies. Triangular group interviews were conducted with people from different socio-economic strata in Santiago, Chile and discourse analysis was conducted. The results evidenced discourses with more fixed and conventional articulations that are coherent with the dominant modern prototypical family model. There were also more oscillating resopnses, which showed re-articulations and the presence of residual and emerging cultural forms alongside dominant discourses. © 2022 Revista Latinoamericana de Ciencias Sociales, Ninez y Juventud. All rights reserved.</t>
  </si>
  <si>
    <t>10.11600/rlcsnj.20.3.5521</t>
  </si>
  <si>
    <t>Delaporte, Pablo Seward</t>
  </si>
  <si>
    <t>Toward a phenomenology of politics: Vulnerability, autonomy, and the making of hard corporeal selves in Chile's migrant campamentos</t>
  </si>
  <si>
    <t>ETHOS</t>
  </si>
  <si>
    <t>gender; migration; phenomenology; poverty; vulnerability</t>
  </si>
  <si>
    <t>How do people experience vulnerability, and what can this experience tell us about how states help those living in precarious conditions? According to the Chilean state, people who live in vulnerable encampments do so strictly out of necessity, not choice, and vulnerability is best addressed by demolishing encampments, resettling their communities, and giving the poor opportunities to recover their economic and moral autonomy. Based on 15 months of ethnographic research in predominantly migrant informal settlements in Chile's northern border city of Antofagasta, this article shows how the state's project to demolish vulnerable encampments is in tension with migrant women community leaders' own personal and collective projects of autonomy. Examining one migrant woman community leader's use of the moral concept of hardness to express her ethics of autonomy, I attend to ordinary instances where women helping the state resettle their communities instead subtly undermined the state's resettlement plan. This case advances feminist theories of politics and vulnerability that examine how the domain of the political is reconfigured through women's domestic work in the everyday. Psychological anthropology, with its recent turn to critical phenomenology, has much to add to this phenomenology of the critical, of politics.</t>
  </si>
  <si>
    <t>10.1111/etho.12431</t>
  </si>
  <si>
    <t>Delazari, Fagner; Nascimento dos Santos, Daiana</t>
  </si>
  <si>
    <t>Migration, story and decolonization in Brazil from Que horas ela volta? (The Second Mother)</t>
  </si>
  <si>
    <t>IZQUIERDAS</t>
  </si>
  <si>
    <t>Postcolonial studies; Migration; imaginary; descolonization; Brazil; cinema</t>
  </si>
  <si>
    <t>This paper intends to analyze the brazilian movie The second mother (Que horas ela volta?, directed by Anna Muylaert), from the ideas of the postcolonial criticism, specially the notions of coloniality (Quijano), subalternity (Spivak), and decolonization of the imaginary (Akassi). We propose to investigate the aesthetic, political and social aspects present in this fiction movie, that allow us to affirm that the character Jessica represents an effort of rupture in relation to the present coloniality in the Brazilian social relations, especially with regard to the situation of northeastern women and domestic workers at the beginning of the 21st century.</t>
  </si>
  <si>
    <t>Delmonte R.</t>
  </si>
  <si>
    <t>Korean restaurants in Buenos Aires city. Food, culture and identity in the diaspora; [Restaurantes coreanos en la Ciudad de Buenos Aires. Comida, cultura e identidad en la diáspora]</t>
  </si>
  <si>
    <t>Sociedade e Cultura</t>
  </si>
  <si>
    <t>Diaspora; Hood habits; Identity; Migration; Restaurants</t>
  </si>
  <si>
    <t>This article proposes a reflection about Korean restaurants as places where different dimensions of the construction of identity of this group of migrants in Buenos Aires converge. Considering the hypothesis that these restaurants construct a narration about traditional food and about being Korean in Bs As, we recover the concept of front (Goffman, 1974) to describe the scenic strategies that are brought into play in such spaces. We were able to observe, that despite having similar characteristics, these restaurants present diverse narrations that articulate in different ways the heterogeneous cultural configurations of the Korean community in Buenos Aires.</t>
  </si>
  <si>
    <t>Demétrio N.B.; Baeninger R.; Domeniconi J.O.S.</t>
  </si>
  <si>
    <t>Haitian immigration in Brazil: humanitarian subject and family reunification; [IMIGRAÇÃO HAITIANA NO BRASIL: QUESTÃO HUMANITÁRIA E REUNIÃO FAMILIAR]</t>
  </si>
  <si>
    <t>family reunification; Haitian migration; humanitarian visa; migration</t>
  </si>
  <si>
    <t>This paper analyzes the legal requests for family reunification filed by Haitian nationals residing in Brazil. This phenomenon reveals a new phase in the dynamics of this migration, accompanying the reconfiguration of bilateral relations between the two countries. If, at the beginning of the flow, the possibilities for migratory regularization reflected the role played by Brazil in MINUSTAH, today the bureaucratic obstacles imposed on this movement demonstrate the intensification of the migratory crisis at the destination, expressed especially in the regulations and constraints established by the Brazilian state. In this context, the country takes on another meaning for the Haitian migrations: from buffer country to human rights frontier country. Therefore, exploring the disputes and contradictions that mark this process constitutes the central question of this investigation. © 2023, Scalabriniano Center for Migratory Studies. All rights reserved.</t>
  </si>
  <si>
    <t>10.1590/1980-85852503880006711</t>
  </si>
  <si>
    <t>Denegri-Coria M.; Silva-Layera F.; Quintano-Méndez F.; Riquelme-Segura L.</t>
  </si>
  <si>
    <t>Framing in news about migrants in Chilean media; [Framing en notas de prensa sobre migrantes en medios de comunicación chilenos]</t>
  </si>
  <si>
    <t>Chile; Framing; Media; Migration</t>
  </si>
  <si>
    <t>Migration is one of the most discussed issues in recent years in Chile and the way it is treated in the media could impact public opinion, so it is of special interest to analyze how the media direct the public’s interest towards issues and frames. The present research seeks to describe the dominant frames in the content of news about migrants in the newspapers La Tercera and El Mostrador, during October 2018 and November 2019. The information analyzed showed the presence of a mostly negative assessment of migrants by hegemonic publishers, and neutral in counter-hegemonic ones, where each media would be exposing different topics according to its editorial line, prevailing frames of conflict and morality in the press releases. Our findings demonstrate the need to approach qualitatively to the perceptions of readers for a greater understanding of the influence of hegemonic and counter-hegemonic media on public opinion. © 2023, Universidad Austral de Chile. All rights reserved.</t>
  </si>
  <si>
    <t>10.4206/rev.austral.cienc.soc.2023.n44-11</t>
  </si>
  <si>
    <t>Denny E.K.; Dow D.; Levy G.; Villamizar-Chaparro M.</t>
  </si>
  <si>
    <t>Extortion, Civic Action, and Political Participation among Guatemalan Deportees</t>
  </si>
  <si>
    <t>British Journal of Political Science</t>
  </si>
  <si>
    <t>deported migrants; extortion; Guatemala; migration; political participation</t>
  </si>
  <si>
    <t>How do deported migrants engage in civic and political life after being forcibly returned to their home countries? Do experiences during the migration journey impact how deportees (re)engage? We explore how extortion experienced during migration alters political and civic engagement preferences. We utilize a multi-method approach combining original survey data of Guatemalans deported from the United States and a series of qualitative deportee interviews. We find that extortion during migration has a significant direct effect on increased citizen engagement. Economic hardship exacerbated by extortion may mediate this effect. Overall, extortion experienced while migrating has long-term financial consequences for deportees, with implications for their reintegration and the broader health of civic institutions in their home countries. Copyright © The Author(s), 2023. Published by Cambridge University Press.</t>
  </si>
  <si>
    <t>10.1017/S0007123423000418</t>
  </si>
  <si>
    <t>Depetris-Chauvin E.; Santos R.J.</t>
  </si>
  <si>
    <t>Unexpected guests: The impact of internal displacement inflows on rental prices in Colombian host cities</t>
  </si>
  <si>
    <t>Journal of Development Economics</t>
  </si>
  <si>
    <t>Crime; Internal displaced people; Migration; Rental prices</t>
  </si>
  <si>
    <t>We study the causal impact of internally displaced people (IDP) inflows on rental prices in Colombian host cities. Following an instrumental variables approach we find that as IDP inflows increase, low-income rental prices increase and high-income rental prices decrease. We provide empirical evidence on two potential mechanisms for these findings: Excess demand for low-income housing puts upwards pressure on rental prices; increasing supply of high-income housing coupled with rising homicide rates put downwards pressure on rental prices. © 2018 Elsevier B.V.</t>
  </si>
  <si>
    <t>10.1016/j.jdeveco.2018.05.006</t>
  </si>
  <si>
    <t>Diab S.</t>
  </si>
  <si>
    <t>Fear and (in)security: The Canadian government's response to the Chilean refugees</t>
  </si>
  <si>
    <t>Refuge</t>
  </si>
  <si>
    <t>This article examines Canada's response to the Chilean refugee crisis in 1973. It explores the conditions that made the resettlement of Chilean refugees possible, despite the reluctance of the Canadian government to provide protection for them. The article focuses on the relation between the Canadian government's regulatory discourses and practices on the one hand, and the Canadian public's contestation of, and challenges to, such discourses and practices on the other. The Chilean refugee crisis revealed that the Canadian refugee protection regime was subject to political ideology, with very little consideration given to the suffering of refugees constructed as a threat to Canadian social, political, and economic well-being. However, civil society played a pivotal role in compelling the government to take a stance toward the refugees, though the government was able to control refugee reception by being deliberately selective about which lives it would save. The visibility and the success of the Canadian public in advocating on behalf of the Chilean refugees demonstrated the potential of this emerging civil power to affect refugee policies and practices while also revealing its limitations.</t>
  </si>
  <si>
    <t>Dias, Gustavo; Domenech, Eduardo</t>
  </si>
  <si>
    <t>Sociologia e fronteiras: a produção da ilegalidade migrante na América Latina e no Caribe</t>
  </si>
  <si>
    <t>SOCIOLOGÍAS</t>
  </si>
  <si>
    <t>migration; migrant irregularity; borders’ control; criminalization of migration</t>
  </si>
  <si>
    <t>Abstract This issue of Sociologias critically reflects on the production of migrant “illegality" in Latin American and the Caribbean border contexts. It gathers articles that explore the production of illegality through different border regimes in the region. The articles bring, through different empirical studies, conceptual and epistemological contributions to the field of Sociology to think how the multiplication of border controls in the contemporary world takes shape in Latin America and the Caribbean. Although this discussion has received little attention so far, the region offers an important heterogeneity of experiences of “illegalization” of the migrant population, linked to various changes that have occurred in the region. In this direction, this Dossier focuses, in particular, on some relevant social spaces or border areas to organize the proposal: the southern border of Mexico, a strategic region for the US government to control the entry of Central Americans into its national territory and which, currently, makes headlines because of the Central American migrant caravans; the conflicting border area between Haiti and the Dominican Republic, where the Dominican state, through legal provisions, promotes the illegality of migrants; the role of Ecuador, as an articulating center for undocumented workers for the United States; and, finally, the criminalization process in the northern border of Chile, a region characterized by the high circulation of Latin American and Caribbean migrants.</t>
  </si>
  <si>
    <t>55</t>
  </si>
  <si>
    <t>10.1590/15174522-109126</t>
  </si>
  <si>
    <t>Díaz A.P.; Schroeder S.; Aros C.C.</t>
  </si>
  <si>
    <t>IMPACTS OF THE IMMIGRATION CORRIDOR ON PERUVIAN AND CHILEAN CITIES URBAN TRANSFORMATIONS DURING THE PANDEMIC; [IMPACTOS DEL CORREDOR MIGRATORIO EN CIUDADES DE PERÚ Y CHILE TRANSFORMACIONES URBANAS DURANTE LA PANDEMIA]</t>
  </si>
  <si>
    <t>Urbano</t>
  </si>
  <si>
    <t>covid-19; migration; public spaces; urban transformations</t>
  </si>
  <si>
    <t>The eviction of migrants from Plaza Brasil, in the city of Iquique, an act that was questioned due to the violence used by public forces, revealed not just the humanitarian problem involved, but also a turning point in attempts to normalize a process where cities have been altered by the exodus of migrants. This study looks into the impacts generated by the successive stages of migration within the Venezuelan migratory flow, one characterized by the great vulnerability of these migrants. Since the start of 2020, amid a health crisis and border closures, they have entered Colombia, Ecuador, Peru, Bolivia, and Chile by land using unauthorized crossings, to find better living conditions in these destinations. Here, the approaches which connect flows and transformations as responses to reproduction factors of global society, with those that conceive mobility as a “creative force” that interacts autonomously with these structures, are discussed. To this end, mobility in the historical centers of three cities located in border transit and entry zones to each country, where the interrelation in public space has been transformed and stressed, is explored, namely Piura, in Peru, and Iquique and Antofagasta in Chile. The results show similarities in the dynamics and transformations generated. Given the vulnerable condition of migrants, there is an increase in the occupation of public space, through autonomous actions of self-management and organization, as well as local resistance, demonstrating the relevance of mobility in modern society. All-in-all, it is recommended to adopt a differentiated agenda to understand the connection between migrants and places during the mobility experience. © 2022 Azarbaijan Shahid Madani University.</t>
  </si>
  <si>
    <t>10.22320/07183607.2022.25.45.01</t>
  </si>
  <si>
    <t>Díaz Aguad, Alfonso; Bustos González, Raúl</t>
  </si>
  <si>
    <t>Notas preliminares para el estudio de la relación entre los inmigrantes italianos y el Estado de Chile en Tacna y Arica (1880-1929)</t>
  </si>
  <si>
    <t>Revista de historia (Concepción)</t>
  </si>
  <si>
    <t>Migration; Border; Pacific War; Arica; State; Italians</t>
  </si>
  <si>
    <t>ABSTRACT: The research presents preliminary ideas about the relationship between the State of Chile and the Italian, Italian-Peruvian and Italian-Chilean population in the new Chilean-Peruvian border during the post-Pacific War until 1929. Methodologically, from a qualitative point of view, the research defines official views (through work in institutional and state archives) regarding migration and its incorporation processes into the Tacneño-Ariqueña society, complemented with work in personal, family, institutional, and migrant collectivities archives. The results suggest the grouping of Italian migrants in networks that sought to protect their privileges, in the face of the prevailing political uncertainty at the time.</t>
  </si>
  <si>
    <t>10.29393/rh28-6npad20006</t>
  </si>
  <si>
    <t>Díaz Tolosa R.I.</t>
  </si>
  <si>
    <t>A New Chilean Migration Act: an Approach to International Standards</t>
  </si>
  <si>
    <t>The current Chilean Migration Act is the oldest in South America. It was created under the paradigm of national security, not human rights, and today does not adequately serve a participating democratic state, active within the international community. The Chilean government will soon be moving to discuss in congress a new migration act. We want to emphasize that the government should not forget the importance of incorporating international standards of migration policy into the national sphere. Chile is part of the United Nations system and, as a participating member, ratifies all core human rights treaties. Given that the United Nations Human Rights Bodies have made recommendations about migration policy, it is essential that this discussion be brought to the attention of our governing officials. This article reviews the UN recommendations as a concrete approach to the implementation of international standards in Chilean migrant policy. © 2016 The Author. International Migration © 2016 IOM</t>
  </si>
  <si>
    <t>10.1111/imig.12259</t>
  </si>
  <si>
    <t>Diaz, Nairbis Desiree Sibrian; Mejias, Neida Josefina Colmenares; Silva, Juan Carlos Nunez</t>
  </si>
  <si>
    <t>Misinformative Strategies on Migration in Chile: Framing of Fake News about the Human Mobility</t>
  </si>
  <si>
    <t>MIGRACIONES</t>
  </si>
  <si>
    <t>Disinformation; migration; fake news; fact-checking; Chile</t>
  </si>
  <si>
    <t>The objective is to analyze the representation of the migrant population in disinformation identified by 14 Chilean fact-checking platforms, between 2018 and 2022. The sample is characterized according to dates, sources, media, strategies, frames and discursive axes, through an analysis of content, framing and discourse in 93 cases. The results show that there is misleading (42%) and fabricated content (39%), with framing of rights (33%) and security (28%), along with discursive axes such as invaders (34%), criminals (25%) and illegal (23%). Likewise, it is found that they circulate in social networks (66%) and national media (27%), increasing in electoral periods and being issued by alleged witnesses (31%), political parties (20%), government and institutions (18%). This research reveals the confluence of actors and discourses in the disinformation on migration in Chile, warning that it could be a generalized strategy of disincentive to human mobility that uses falsehood as a resource.</t>
  </si>
  <si>
    <t>10.14422/mig.2023.021</t>
  </si>
  <si>
    <t>Dintrans C.V.; Mardones S.P.</t>
  </si>
  <si>
    <t>Who, how and what is investigated in a commercialized educational system? A meta-analysis of research on educational policy in post-dictatorship Chile (1990-2019); [Quem, como e o que é investigado em um sistema educacional comercializado? Uma meta-análise da pesquisa sobre política educacional no Chile pós-ditadura (1990-2019)]; [¿Quién, Cómo y de Qué se Investiga en un Sistema Educativo Mercantilizado? Un Meta-Análisis de la Investigación sobre Política Educativa en el Chile Post-Dictadura (1990–2019)]</t>
  </si>
  <si>
    <t>Education Policy Analysis Archives</t>
  </si>
  <si>
    <t>Chile; educational policy; educational system; marketization; systematic review</t>
  </si>
  <si>
    <t>Starting from the idea that research and who carry it out affect the construction of the educational system, this article seeks to describe and understand what the main patterns of academic publication on educational policy in post-dictatorship Chile (1990–2019) are. Through a systematic review of more than 300 articles about educational policy, the paper analyzes who publish, the methods used and what has been investigated during the last three decades. The results show that research on educational policy is characterized by being a masculinized and individualized space, dominated by elite universities and characterized for a disciplinary autonomy. In addition, research in educational policy is highly descriptive and tends to use a qualitative approach as a way of approaching the phenomena it studies. Finally, it is observed that, even though most of the studies have a critical stance towards the market, in general they seek to correct it rather than remove it. This exercise allows deepening the reflection on the reconfiguration of the relationship between research and educational policy, as well as the mechanisms of influence that educational researchers develop on educational policy. © 2022, Arizona State University. All rights reserved.</t>
  </si>
  <si>
    <t>10.14507/EPAA.30.7515</t>
  </si>
  <si>
    <t>Dohnke J.; Heinrichs D.; Kabisch S.; Krellenberg K.; Welz J.</t>
  </si>
  <si>
    <t>Achieving a Socio-Spatial Mix? Prospects and Limitations of Social Housing Policy in Santiago de Chile</t>
  </si>
  <si>
    <t>Housing Studies</t>
  </si>
  <si>
    <t>affordable housing; Chile; housing market; Housing policy; segregation</t>
  </si>
  <si>
    <t>In the Chilean housing sector, the combination of free-market imperatives guiding investment decisions and a long tradition of social housing subsidies has generally had remarkable success in quantitative terms but has also contributed to the large-scale segregation of poor families on the urban periphery. With the goal of a better socio-spatial mix and, ultimately, social integration, the Chilean government recently revised its guidelines for housing subsidies, promoting small-scale social housing in central locations. This paper examines the early effects of this new housing policy in a cluster of the so-called “pericentral” municipalities in Santiago de Chile. Specifically, it raises the question of whether the policy has a chance of achieving its objectives in light of prevailing free-market conditions. We demonstrate strong interrelations between the current dynamics of real-estate investment and government-led housing programs which together continue to promote uneven socio-spatial development and segregation of the urban poor on a smaller scale. © 2014 Taylor &amp; Francis.</t>
  </si>
  <si>
    <t>10.1080/02673037.2014.982516</t>
  </si>
  <si>
    <t>Domenech E.</t>
  </si>
  <si>
    <t>The “politics of hostility” in Argentina: Detention, expulsion and border rejection; [La “política de la hostilidad” en Argentina: Detención, expulsión y rechazo en frontera]</t>
  </si>
  <si>
    <t>Estudios Fronterizos</t>
  </si>
  <si>
    <t>Argentina; Borders; Control; Deportation; Migration; Politics of hostility</t>
  </si>
  <si>
    <t>This article aims to analyze the transformations produced in the field of migration control policies in the recent Argentine context. The notion of “politics of hostili-ty” is proposed to characterize a specific mode of political intervention based on the spectacularization, expansion and intensification of migration control. It is argued that the main changes are related to the reconfiguration of the control regime of migrant “illegality” that has taken place through specific interventions on detention, expulsion and border rejection. Based on a qualitative methodology that articulates participant observation, interviews, and diverse documentary sources, different processes, scenes, events, interventions, and conflicts specifically related to de-tention, expulsion, and border rejection are analyzed. In addition, special attention is giv-en to the emergence of new spatialities and temporalities of migration and border control. © 2020, Universidad Autonoma de Baja California. All rights reserved.</t>
  </si>
  <si>
    <t>10.21670/ref.2015057</t>
  </si>
  <si>
    <t>Domínguez J.L.S.; Feria A.G.M.E.V.</t>
  </si>
  <si>
    <t>Cultural capital and internal migration trajectories of recently enrolled students at the universidad veracruzana</t>
  </si>
  <si>
    <t>Apuntes</t>
  </si>
  <si>
    <t>Capital incorporated; Migration; Students; Trajectories; University</t>
  </si>
  <si>
    <t>In this article, we investigated the migratory profiles of recently enrolled university students. Migration studies have recently taken an interest in student migration due to the presence of students in highly centralized regions. Here, the objective is to analyze the form of migration of newly enrolled students who changed their place of residence to study at the Universidad Veracruzana in Mexico. Applying Bourdieu’s theory and a mixed methodology, we identify two groups of students according to the cultural capital which shapes their academic and migratory trajectories, and defines the value they assign to university studies. © Creative Commons Attribution 3.0.</t>
  </si>
  <si>
    <t>10.21678/apuntes.88.1277</t>
  </si>
  <si>
    <t>Dona-Reveco, Cristian</t>
  </si>
  <si>
    <t>Immigrant invasions to the South American Tiger: Immigration Representations in Chilean Newspapers (1991-2001)</t>
  </si>
  <si>
    <t>JOURNAL OF IMMIGRANT &amp; REFUGEE STUDIES</t>
  </si>
  <si>
    <t>Immigration; news media; thematic analysis; Chile; receiving context; xenophobia; xenophilia</t>
  </si>
  <si>
    <t>Since the early 1990s, Chile has become a regionally relevant immigrant receiving country. This increase in immigration, the largest in the country's history, has encountered distinct responses from the state, civil society, and-particularly-printed media. Using a thematic analysis of 134 articles published between 1991 and 2001, I argue that Chilean newspapers framed the portrayals of recent immigrants within the historical construction of the late 19th-century European migration to Chile as well as by a belief of racial superiority of Chileans with relation to its northern neighbors. Compared to more recent analysis, these point to a larger trend of anti-immigrant representations in Chilean newspapers.</t>
  </si>
  <si>
    <t>10.1080/15562948.2022.2132570</t>
  </si>
  <si>
    <t>Dona-Reveco, Cristian; Gouveia, Lourdes</t>
  </si>
  <si>
    <t>What do immigrants make of immigration policies? Insights from interviews with Venezuelans in Chile</t>
  </si>
  <si>
    <t>In this article, we build on qualitative data from 37 in-depth interviews with Venezuelan immigrants in Chile, collected in 2017 and 2018, to explore how they make sense of sudden immigration policy changes made by the Sebastian Pinera government in mid-2018. Linked to these perceptions, we explore our interviewees' attitudes towards other immigrant groups. We contend that, while immigrant participation in policymaking often is a normatively desired form of inclusion, immigrant perceptions of other immigrants and of immigration policy are not uniform. We find that immigrants can have very negative perceptions of other immigrants, favouring restrictive policies. Immigrants influence the contexts of reception for newcomers, and-in the case of Chile-they have voting and political rights that places them in a position of casting some influence over immigration policies. Studying the Venezuelan case is particularly illuminating, as this immigration was considered a desirable or acceptable immigration.</t>
  </si>
  <si>
    <t>10.1111/imig.12824</t>
  </si>
  <si>
    <t>Donoso Díaz, Sebastián; Arias Rojas, Óscar</t>
  </si>
  <si>
    <t>Distribución desigual de las oportunidades educativas en el territorio y migración de la matrícula escolar: el caso de la región de Los Lagos (Chile)</t>
  </si>
  <si>
    <t>equity; subnational government; territory; public education; education policy</t>
  </si>
  <si>
    <t>One of the characteristics of the actual Chilean school system is the growing segmentation across socioeconomic groups of students, which has intensified in the last decade along the growth of private schools enrollment. In the heart of this phenomenon has been the policy debate on financing of the school system. Beyond the measures of the student's individual vulnerability, the article discusses the need to incorporate aspects of educational risk related to the territories where the students are located, and the dependency relationships between these areas at a national level. To understand the relationships between regions the daily migration processes of students between districts are analyzed, delving into the case of the Lakes Region. The paper concludes with policy recommendations for the funding policy and the management of public education policy in the context of the discussion of the new architecture of Chilean school system.</t>
  </si>
  <si>
    <t>Dorignon L.</t>
  </si>
  <si>
    <t>In two minds: The high-rise housing ambivalence of transnational migrants</t>
  </si>
  <si>
    <t>Affect; Apartment; Emotion; Migration; Transience; Vertical urbanism</t>
  </si>
  <si>
    <t>Arriving migrants of middle-class backgrounds increasingly establish themselves in high-rise apartments of densifying cities of the Global North through the private rental market or first homeownership. From their transient and elevated homes, transnational migrants find themselves vacillating between a desire to perform the archetype of the successful migrant livelihood and the realities of metropolitan vertical living. Memories and narratives of life ‘back home’ shape practices and relationships that enable them to put down roots. Yet high-rise housing, with its socio-material implications, mediates migrants’ everyday experiences in unique ways. This article investigates transnational migrants’ ambivalent feelings of ‘home’ in two verticalising cities, London and Melbourne. Drawing on affect- and practice-theoretical approaches to emotions and on the geographies of home, I argue that ambivalence enables migrants to habituate to the transience of their high-rise housing situation. Through interviews with 42 transnational migrants of diverse nationalities and socio-economic backgrounds, I analyse two registers of ambivalence as they unfolded in migrants’ narratives of high-rise housing. In the apartment, migrants’ ambivalent sensations revealed the embodied transience of transnational homemaking. In the vertical development, migrant's ambivalent attachments unveiled their negotiated and intermittent feelings of belonging. Given these differential registers of ambivalence, I demonstrate that migrants are unevenly positioned to adjust to their vertical homes. I conclude by suggesting that ambivalence helps in further conceptualising the lived experience of high-rise housing, and that a more nuanced understanding of emotions is needed to envisage prospects for migrants’ livelihoods in apartments in the contemporary city. © 2023 The Author(s)</t>
  </si>
  <si>
    <t>10.1016/j.geoforum.2023.103872</t>
  </si>
  <si>
    <t>dos Santos, Antonela</t>
  </si>
  <si>
    <t>'Was I an indio?' Ambivalent self-ascriptions, gatherings and scatterings in the trajectory of a Ranquel man in central Argentina</t>
  </si>
  <si>
    <t>Ranquel; identity; culture; relationships; ethnogenesis; Argentina</t>
  </si>
  <si>
    <t>This article presents Eugenio's life story, which begins with his youth in the 1940s as a puestero 'among the Indians' in western La Pampa (Argentina). The narrative traces his migration to the city, his incorporation into the labor market, his involvement in union life, and finishes with his current participation as a werken in a Ranquel community. As I argue, for Eugenio and other Ranqueles I have worked with, the central axis of articulation of identity and difference, continuity and discontinuity is not anchored in a particular culture to recover. Rather, it is situated at the level of relationships, in the alternation over time between periods of 'being all together' and periods of desparrame or scattering. Eugenio's life story follows the paths of kinship, friendship, and neighborhood, and introduces multiplicity, hiatuses, and contradictions, while providing clues as to how Ranqueles themselves name, characterize and explain ethnic processes usually labeled by anthropologists as 'ethnogenesis' or 're-emergence'.</t>
  </si>
  <si>
    <t>10.1080/17442222.2023.2222060</t>
  </si>
  <si>
    <t>Dota E.; Ferreira F.</t>
  </si>
  <si>
    <t>Economic and urban-regional dynamics in Espírito Santo: productive restructuring and population displacement; [Dinâmica econômica e urbano-regional no Espírito Santo: reestruturação produtiva e deslocamentos populacionais]</t>
  </si>
  <si>
    <t>migration; mobility; productive restructuring</t>
  </si>
  <si>
    <t>The economic transformations that have occurred in the last decades have changed the urban-regional dynamics of large urban agglomerations since the spread of productive activities and the creation or strengthening of daily and permanent population flows. In this article, we analyze the impacts of productive restructuring on the spatial mobility of the population in Espírito Santo, in order to understand how these changes are shaping new territorial arrangements. We used the microdata from the Brazilian Demographic Census of 2000 and 2010 to analyze changes in migration and in the workforce. Additionally we developed a binary logistic model to measure its effects. The results show that the spread of productive activities to the metropolitan north coastal has forged new population flows, indicating greater socio-spatial integration and new urban and regional processes. © EURE.</t>
  </si>
  <si>
    <t>10.7764/eure.49.146.03</t>
  </si>
  <si>
    <t>Ducci, Maria Elena; Symmes, Loreto Rojas</t>
  </si>
  <si>
    <t>Little Lima: The new face and vitality of Santiago de Chile's downtown</t>
  </si>
  <si>
    <t>EURE-REVISTA LATINOAMERICANA DE ESTUDIOS URBANO REGIONALES</t>
  </si>
  <si>
    <t>Urban centres; urban culture; migration; socio-territorial transformation</t>
  </si>
  <si>
    <t>The recent migrations to Chile are an unprecedented social phenomenon in the country. This work focuses on the impact of Peruvian migrants, as the major migrant group in Santiago's downtown, and their recovery of semi-abandoned places and shops, creating a Little Lima. This is an area where migrants look for work, eat and enjoy themselves. The study reveals the positive effects of this phenomenon in the recovery and revitalization of central areas, and in reinvigorating trade and the use of public spaces. It also recognizes the precarious nature of migrant dwelling in older housing in the center, which creates problems of overcrowding, and access to health and education, which -given the absence of social policies aimed at immigration- can (and is starting to) create short-term conflicts.</t>
  </si>
  <si>
    <t>Duch, Raymond M.; Laroze, Denise; Reinprecht, Constantin; Robinson, Thomas S.</t>
  </si>
  <si>
    <t>Nativist policy: the comparative effects of Trumpian politics on migration decisions</t>
  </si>
  <si>
    <t>POLITICAL SCIENCE RESEARCH AND METHODS</t>
  </si>
  <si>
    <t>Ethnicity and nationalism; experimental research; labor economics</t>
  </si>
  <si>
    <t>Firms in the USA rely on highly skilled immigrants, particularly in the science and engineering sectors. Yet, the recent politics of immigration marks a substantial change to US immigration policy. We implement a conjoint experiment that isolates the causal effect of nativist, anti-immigrant, pronouncements on where skilled potential-migrants choose to immigrate to. While these policies have a significantly negative effect on the destination choices of Chilean and UK student subjects, they have little effect on the choices of Indian and Chinese student subjects. These results are confirmed through an unobtrusive test of subjects' general immigration destination preferences. Moreover, there is some evidence that the negative effect of these nativist policies are particularly salient for those who self-identify with the Left.</t>
  </si>
  <si>
    <t>10.1017/psrm.2020.33</t>
  </si>
  <si>
    <t>Duquesnoy M.</t>
  </si>
  <si>
    <t>The desire for identity: Stigma, political procedure and resilience among the mapuche williche women of the puyehue commune in Chile; [O desejo de identidade. Estigma, proceder político e resiliência nas mulheres mapuche williche da comunidade de puyehue, Chile]; [El deseo de identidad. Estigma, proceder político y resiliencia en las mujeres mapuche williche de la comuna de puyehue, Chile]</t>
  </si>
  <si>
    <t>Chile; Community cultural resilience; Culture; Politics; Williche mapuche women</t>
  </si>
  <si>
    <t>Mapuche Williche women today demonstrate notable political visibility in the communes of southern Chile. In this context, the term “political” does not necessarily mean partisan strife. The question posed in this article, is intended to set forth the hypothesis that if a socio-cultural stigma does exist, it could serve as a pretext for the consolidation of identity and political vindication of both the “ethnic” group and the “generic group,” which collaterally generates a sui generis “feminine” discourse that has not yet been studied in depth. Considering these points, the author reviews the current discourses and praxis with which the Williche women of the Puyehue commune (Osorno) carry out their activities in dialogue with the traditional authorities of the Mapuche people and with the Chilean authorities. © 2015, Universidad de Los Andes. All rights reserve</t>
  </si>
  <si>
    <t>10.7440/antipoda22.2015.04</t>
  </si>
  <si>
    <t>Duquesnoy, Michel</t>
  </si>
  <si>
    <t>Mujeres mapuche williche en Puerto Gala (Aysén). Entre merluzas, ingeniería identitaria y sobriedades feministas sui Generis</t>
  </si>
  <si>
    <t>Nueva antropología</t>
  </si>
  <si>
    <t>Gala Islands (Chile); Mapuche Williche women; ethnic identity; sui generis feminism</t>
  </si>
  <si>
    <t>Abstract This is a look at a population group on the island world of the far-southern zones of Chile, the Aysén region. There are few anthropological or sociological studies on the presence of Mapuche Williche (southern Mapuche) who undertook temporary or permanent migration there. Nor are there many studies on gender in this island group. The first objective is to take an analytical approach to this presence from the point of view of gender, with which the author evaluates the importance of Williche women in the Gala island group. I will turn to the sui generis concept of feminism. The second objective refers to the identity component, to which the group analyzed adds the ethnic component in a region far from the ancestral Williche territory.</t>
  </si>
  <si>
    <t>88</t>
  </si>
  <si>
    <t>Duran-Migliardi, Carlos; Eduardo Thayer-Correa, Luis</t>
  </si>
  <si>
    <t>Precarious Citizenship: Towards a conceptual definition for the characterization of contemporary migratory processes</t>
  </si>
  <si>
    <t>REVISTA REPUBLICANA</t>
  </si>
  <si>
    <t>Citizenship; Precariousness; Migration; Concept; Nomination</t>
  </si>
  <si>
    <t>The objective of this work is to propose a conceptual definition of the category precarious citizenship that allows to contribute to the systematic knowledge of the modalities of incorporation/exclusion of migrant citizens in the contemporary context. From the description of the nominative nature of this definition, the article proposes the construction of an operational criterion of conceptualization of migrant citizenship based on the distinction between its normative, political and interactive dimensions.</t>
  </si>
  <si>
    <t>10.21017/Rev.Repub.2020.v28.a78</t>
  </si>
  <si>
    <t>Durand J.</t>
  </si>
  <si>
    <t>The Peruvian diaspora: Portrait of a migratory process</t>
  </si>
  <si>
    <t>Latin American Perspectives</t>
  </si>
  <si>
    <t>Class; Crisis; Education; Emigration; Peru</t>
  </si>
  <si>
    <t>Since the 1980s and especially the 1990s, Peru has become a nation of emigrants. Emigration has become massive over the past two decades, and the Peruvian populations of the United States, Japan, and Spain have tripled in less than a decade. A survey of households in five localities, three urban and two rural, in and around Lima helps to reveal the special character of this emigration. It tends to involve older and better-educated individuals than are typical of international migration and to target a wider variety of destinations. Moreover, it is a multiclass phenomenon. The economic, political, and social crisis brought about by a change in the economic model, two decades of terrorism, and a succession of failed democratic administrations has affected the society as a whole, and international migration seems to operate as an escape valve. © 2010 Latin American Perspectives.</t>
  </si>
  <si>
    <t>10.1177/0094582X10379103</t>
  </si>
  <si>
    <t>Eduardo Thayer C., Luis; Gabriela Cordova R., Maria; Avalos B., Betania</t>
  </si>
  <si>
    <t>Limits of recognition: Latin American migrants in the Metropolitan Region of Santiago de Chile</t>
  </si>
  <si>
    <t>PERFILES LATINOAMERICANOS</t>
  </si>
  <si>
    <t>immigration; recognition; discrimination; incorporation; society; public space</t>
  </si>
  <si>
    <t>The arrival of immigrants from Latin America to the Metropolitan Region over the past 15 years has introduced deep social changes. The absence of a migration policy geared towards the recognition of migrants as social subjects has left the incorporation process to the fate of the immigrants' own strategies. Our research seeks to show the disposition of native people to engage in a recognition relationship with Latin American immigrants.</t>
  </si>
  <si>
    <t>10.18504/pl2142-163-2013</t>
  </si>
  <si>
    <t>Edwards, Rosario; Greene, Margarita</t>
  </si>
  <si>
    <t>Haitian migration in Santiago. A multiscalar and temporal approach</t>
  </si>
  <si>
    <t>migration; networks; socio-territorial transformations</t>
  </si>
  <si>
    <t>In the context of an increasing immigration to Chile from Latin America and the Caribe, which is equivalent to an 87,8% of the country immigrant population by 2017, this article focuses on the Haitian migration, one of the most significant of the last period. Migrant living is analyzed in Santiago city from a multiscalar and temporal approach with complementary methods and scales. We describe the processes of territorial occupation of the main groups at the city level, as well as the strategies of social and economic insertion at the neighborhood level. Afterwards we identify the configurations of the housing group at the domestic scale. Analyzing these migratory dynamics simultaneously and at different scales reveals how interpersonal networks spatially organize migrations and shape the spaces that host them at all levels.</t>
  </si>
  <si>
    <t>10.7764/eure.48.144.02</t>
  </si>
  <si>
    <t>Ehrlich M.</t>
  </si>
  <si>
    <t>Palestinian immigration from Latin American and middle eastern perspectives</t>
  </si>
  <si>
    <t>Journal of Migration History</t>
  </si>
  <si>
    <t>Chain migration; Chile; Palestine</t>
  </si>
  <si>
    <t>The data obtained from Chile and Palestine suggests that there was only one significant immigration wave from Palestine to Chile - from the end of the nineteenth century until the First World War. This immigration was enabled by favourable global conditions such as available and reliable transportation, rather than being provoked by the exceptional hardship alleged to have occurred during those years. Palestinian immigration was chain migration: family members followed those who had immigrated earlier. Nonetheless, these were relatively short chains, which included only a handful of links. Those who arrived from Bethlehem and Bayt-Jala tended to marry Palestinian partners. These partners probably also stemmed from the same towns. Palestinians who arrived from other places often found local partners. Agar and Saffie have already demonstrated that the number of Palestinians in Chile is far fewer than the 350,000 suggested by Baeza, not to mention the 500,000 indicated by less credible sources. Yet, Agar and Saffie dealt with descendants, which is merely a technical term indicating someone with at least one Arab great-grandparent. It seems very difficult to determine to what extent such people identify themselves with their Arab or Palestinian origins. Therefore, the number of those who consider themselves Chileans of Palestinian origin is lower than 50,000, but how large precisely can only be speculated. © Koninklijke Brill NV, Leiden, 2019.</t>
  </si>
  <si>
    <t>10.1163/23519924-00503005</t>
  </si>
  <si>
    <t>Ehrnström-Fuentes M.</t>
  </si>
  <si>
    <t>Production of absence through media representation: A case study on legitimacy and deliberation of a pulp mill dispute in southern Chile</t>
  </si>
  <si>
    <t>Decoloniality; Deliberation; Environmental impact assessment; Legitimacy; Media representation; Voices of the excluded</t>
  </si>
  <si>
    <t>Deliberation is increasingly promoted as a means for producing legitimate decisions in a wide variety of public and private governance schemes. Through a case study of a disputed pulp mill in Chile, the study challenges that assumption by examining what the media representation reveals in terms of how legitimacy is constructed in the public sphere. The study asks how were the demands of marginalised stakeholders presented and contested in media texts over time and how this representation contributed to the legitimation process of the mill in the public sphere. Through a decolonial analysis of the newspaper texts, the study finds that the media representations preconditioned how legitimacy was constructed through deliberation, producing an absence of those who did not support the project. Not only does this type of exclusion affect the stakeholder willingness to participate but the legitimacy of the governance schemes itself is at risk when stakeholders chose to defend their demands in its exteriority. The study concludes that to overcome the challenge of exclusion in the public discourses, the focus of public participation need to change from an abstract rational argument driven debate toward an engaged dialogue on subsistence and co-existence in a world where all living beings are interconnected and valid contributors to the debate. © 2014 Elsevier Ltd.</t>
  </si>
  <si>
    <t>10.1016/j.geoforum.2014.11.024</t>
  </si>
  <si>
    <t>Ekoh S.S.; Teron L.; Ajibade I.; Kristiansen S.</t>
  </si>
  <si>
    <t>Flood risk perceptions and future migration intentions of Lagos residents</t>
  </si>
  <si>
    <t>Climate change; Flooding; Lagos; Migration; Risk perception</t>
  </si>
  <si>
    <t>Coastal communities across the world face intense and frequent flooding due to the rise in extreme rainfall and storm surges associated with climate change. Adaptation is therefore crucial to manage the growing threat to coastal communities and cities. This case study focuses on Lagos, Nigeria, one of the world's largest urban centers where rapid urbanization, poor urban planning, degrading infrastructure, and inadequate preparedness compounds flood vulnerability. We situate flood risk perceptions within the context of climate-induced mobilities in Lagos, which no study has done, filling a necessary knowledge gap. Furthermore, we apply a unique approach to flood risk perception and its linkage to migration, by using three measures of risk – affect, probability, and consequence, as opposed to a singular measure. Results show that the affect measure of flood risk perception is significantly higher than probability and consequence measures. Furthermore, flood risk perception is shaped by prior experiences with flooding and proximity to hazard. The effect of proximity on risk perception differs across the three measures. We also found that flood risk perceptions and future migration intentions are positively correlated. These results demonstrate the usefulness of using multiple measures to assess flood risk perceptions, offering multiple pathways for targeted interventions and flood risk communication. © 2022 German Institute of Developmement and Sustainability</t>
  </si>
  <si>
    <t>10.1016/j.ijdrr.2022.103399</t>
  </si>
  <si>
    <t>Elvira Cardenas, Maria; Caro Molina, Pamela</t>
  </si>
  <si>
    <t>Latin American migrant women in masculinised jobs in Santiago: Recognition and intersectionality</t>
  </si>
  <si>
    <t>Migration; gender; intersectionality</t>
  </si>
  <si>
    <t>This article analyses how migrant women who work in masculinised jobs in Santiago experience social relationships and interactions. Its focus is gender justice and women's recognition within the work environment based on Axel Honneth's Theory of Recognition and the theoretical discussion of intersectionality from an Anglo and Latin American perspective (Galaz et al., 2019; Troncoso et al., 2019; Espinoza, 2016; Curiel, 2014; Lugones, 2005 and Crenshaw, 1989). The qualitative methodology is based on in-depth interviews with some of the women in question. The main result of the study showed that migrant women experience gender injustices related to the cultural appraisal of their specific capacities for success offered to them in masculinised work environments. The type of gender injustice that occurs in masculinised jobs is experienced differently when other forms of oppression intersect (such as nationality or social class). We observed both a lack of recognition and how the tools of resistance generated by migrant women operate.</t>
  </si>
  <si>
    <t>10.4067/S0719-09482021000100103</t>
  </si>
  <si>
    <t>Emilia Tijoux, Maria</t>
  </si>
  <si>
    <t>When race is just a fiction. Keys to understanding the control policies and stigmatization of the migrant body</t>
  </si>
  <si>
    <t>REVISTA LATINOAMERICANA DE ESTUDIOS SOBRE CUERPOS EMOCIONES Y SOCIEDAD</t>
  </si>
  <si>
    <t>Racism; Racial Fiction; Migrations; Migrant Body; Everyday Life</t>
  </si>
  <si>
    <t>This article has the purpose of showing in which way the state public policies assimilate the subject of migration with the security problems of the country. These prejudices many times will cause the criminalization of the migrant population and naturalize a xenophobic and racist speech, as well as also the social segregation practices. It's necessary to seek some key concepts that allow to explain this racializing practices and prejudices. Taking de concept of fictional ethnicity of Etienne Balibar developed in the book Race, Nation, Class (1991) to explain that the nation state by not having a national identity, that is not having an ethnic base, they fictionally sought an identity origin to produce a cohesion or unity to allow them to defend society from its ills (Foucault, 2001). We start by analyzing migratory politics to discover that that in them it exists a causal logic that connects them with the racial fiction. It will be this fictionality the one that will support migratory policies in the process of selection, control, inclusion and exclusion of the migrant population.</t>
  </si>
  <si>
    <t>Erker, Linda</t>
  </si>
  <si>
    <t>Grete Mostny and the Making of Indigenous Archaeology: European Immigration, White Racial Hegemony, and Chilean Nationalism</t>
  </si>
  <si>
    <t>ITINERARIO-INTERNATIONAL JOURNAL ON THE HISTORY OF EUROPEAN EXPANSION AND GLOBAL INTERACTION</t>
  </si>
  <si>
    <t>academia; exile studies; National Socialism; displacement; resettlement; Austria; Chile; anthropology; archaeology; production of knowledge; white racial hegemony; inequality; nationalism</t>
  </si>
  <si>
    <t>Forced migration as a reaction to National Socialism represents individual as well as simultaneously collective, transnational, and global experiences. Not only identity-forming categories but also forms of knowledge are profoundly reshaped by processes of displacement and resettlement. The paper argues that the biography of the archaeologist Grete Mostny (1914-91) offers an exemplary case study of such processes of adaptation on individual, collective, and academic levels. Due to her escape from Austria to Chile as a persecuted Jew in 1938/39, Mostny's identity as a white European (female) scholar attained a whole new significance and became the door opener for her interdisciplinary career at the interface of archaeology and anthropology in her new homeland. Her research in Chile was a product of a global event-namely mass forced emigration from Europe-as well as of factors on the micro level, such as her European descent and her academic education, which gave her certain privileges in her new environment. When Mostny arrived in Chile in 1939, a new European and U.S. hegemony had already begun to dominate academia in the country, which was trying to modernise itself and move from the academic periphery closer to the centre. Mostny, the once racially persecuted scholar, fit well in this process by making use of her European knowledge and her networks. In 1954 she received international attention when she put together a pioneering interdisciplinary research team to study El Nino del Cerro El Plomo, a four-hundred-year-old Inca mummy found in the Andes five thousand metres above sea level. Nationally, Mostny's study contributed, beyond all measure, to the Andean state's identity, as it re-evaluated and enhanced Chile's prehistory. In a time of political and social tensions in Chile, the rediscovery of its Indigenous prehistory-even by a foreign white scholar-helped to overcome the old shadows of colonial historical research, perhaps because in the immediate present the Indigenous movement in Chile offered little potential for consensus. This article uses Mostny's transnational biography as a lens through which to detect these connected histories and entangled hegemonies in the fields of anthropology and archaeology, which have become instrumental in the formation of Chile's national identity. Moreover, the paper shows that the category of race played a central role in the field of knowledge production and career development, not only for Grete Mostny.</t>
  </si>
  <si>
    <t>PII S0165115322000109</t>
  </si>
  <si>
    <t>10.1017/S0165115322000109</t>
  </si>
  <si>
    <t>Erwin A.; Ma Z.; Popovici R.; Salas O'Brien E.P.; Zanotti L.; Silva C.A.; Zeballos E.Z.; Bauchet J.; Calderón N.R.; Arce Larrea G.R.</t>
  </si>
  <si>
    <t>Linking migration to community resilience in the receiving basin of a large-scale water transfer project</t>
  </si>
  <si>
    <t>Land Use Policy</t>
  </si>
  <si>
    <t>Adaptation; Agriculture; Irrigation Project; Migrant farmworkers; Peru; Risk; Vulnerability</t>
  </si>
  <si>
    <t>Large-scale water transfer projects (LWTPs) transfer water to urban and agricultural areas. The Majes-Siguas canal, established in 1983, is an LWTP that created a thriving agricultural area through irrigating the Majes district in the Atacama Desert of Peru. Like other LWTP receiving basins, the project has attracted an influx of migrants who work on the farms. At the same time, the Majes LWTP is the district's only source of water and has an aging infrastructure which presents significant risks. While many studies critically analyze the consequences of LWTPs in water supply basins, few evaluate the resilience of communities living in LWTP receiving basins. In this study, we ask: what factors stifle or enable resilience of the agricultural community in the Majes-Siguas receiving basin? In 2019, we conducted semi-structured interviews with migrant and residents and water authorities, collected and reviewed historical documents, and conducted participant observations. Using this data, we analyze community resilience by identifying perceived risks, stressors, and vulnerabilities among and between groups of agricultural actors, their adaptations, and their perceptions of water management organizations’ responses. Results show that a single source of water, differential vulnerabilities between groups of agricultural actors, and limited organizational responsiveness stifled community resilience, while communal pooling and self-organization enabled community resilience. Attention to increasing inclusion of migrants in water management decision-making, addressing differential water and land rights, and cultivating space for migrant self-organization could enable the agricultural community to be more resilient. © 2021 The Authors</t>
  </si>
  <si>
    <t>10.1016/j.landusepol.2021.105900</t>
  </si>
  <si>
    <t>Escobar E.S.C.</t>
  </si>
  <si>
    <t>The migration as a process of territorial transformation: A theoretical aproach; [La migración como proceso de transformación territorial: Una mirada teórica]</t>
  </si>
  <si>
    <t>Opcion</t>
  </si>
  <si>
    <t>Acculturation; Identity; Memory; Migration; Territory; Tesauro´s classification (UNESCO)</t>
  </si>
  <si>
    <t>Migration is analyzed as a process of territorial transformation through the effects of the collective construction of memory and social identity, when migrants and locals meet in a place in which they are trying to legitimize their practices and ideologies through denominated cultural symbiosis. This process was review since different territorial scales to establish the way in which the migrants’ relationships with the places have determined the plural territories, due to mobilization of cultural practices by migratory networks. The result is an integration of the idiosyncrasy in the physical and social space that they have colonized. © 2018, Universidad del Zulia. All rights reserved.</t>
  </si>
  <si>
    <t>Escolano Utrilla, Severino; Ortiz Veliz, Jorge; Moreno Mora, Rodrigo</t>
  </si>
  <si>
    <t>Spatial structure of residential mobility in the Metropolitan Region of Santiago de (Chile). 2012-2017</t>
  </si>
  <si>
    <t>REVISTA DE GEOGRAFIA NORTE GRANDE</t>
  </si>
  <si>
    <t>Intraurban residential mobility; geospatial networks; neighbourhood; metropolitan regions; Santiago (chile)</t>
  </si>
  <si>
    <t>Most empirical research on spatial patterns of intra-urban residential mobility has been based on the study of the inflow and outflow recorded in various spatial units. This approach does not allow for the definition of migratory areas by the origin, destination and intensity of residential mobility. Here the spatial types and structure of residential mobility in the communes of the Santiago Metropolitan Region (RMS) are studied using individual data on changes of residence between communes. Combining the application of spatial analysis methods and the analysis of geosocial networks has demonstrated: a) the complex and fairly well-integrated nature of the network of residential movements; b) the major influence of geographical proximity on changes of residence; and c) notable territorial differences in the effects of changes of residence on socio-spatial diversification. As a whole, the functional and spatial structure of residential mobility is consistent with the processes of expansion and physical, social and functional fragmentation of the RMS.</t>
  </si>
  <si>
    <t>Escolano-Utrilla, Severino; Ortiz-Veliz, Jorge; Moreno-Mora, Rodrigo</t>
  </si>
  <si>
    <t>Regionalization of residential interurban migrations in Chile in the period 1997-2002.</t>
  </si>
  <si>
    <t>CONFINS-REVUE FRANCO-BRESILIENNE DE GEOGRAPHIE-REVISTA FRANCO-BRASILEIRA DE GEOGRAFIA</t>
  </si>
  <si>
    <t>Interurban migrations; network analysis; modularity; urban system; Chile</t>
  </si>
  <si>
    <t>Interurban residential changes are expressions of the interactions between cities of an urban system. Migratory flows shape a unique and organized network that emerges from the practices of migrants. An applied combination of network analysis and spatial analysis methods to census microdata has allowed characterizing the structure of the network of interurban migratory flows in Chile in the period 1997-2002. The results obtained show that interurban residential migrations shape a network of heterogeneous flows in terms of their magnitude and spatial extend. Nevertheless, their combination build a hierarchical and very stable structure, composed of groups of cities with strong reciprocal migratory interconnections. Geographical proximity is one of the most important factors shaping this structure, in addition to the territorial dynamics of the economy and the distribution and hierarchy of transport and communications infrastructures.</t>
  </si>
  <si>
    <t>Espín Ocampo, Julieta</t>
  </si>
  <si>
    <t>Origen y evolución de la comunidad palestina en Chile</t>
  </si>
  <si>
    <t>Chile; Palestine; migration; refugees; community; national identity</t>
  </si>
  <si>
    <t>Abstract The article analyzes the characteristics of the Palestinian community in Chile, resorting to both the origin and historical evolution and the process of identity construction, especially through the institutions that they have created in that country. Although this community is already integrated into Chilean society with the loss of identity elements such as the Arabic language, it maintains a sense of belonging and cohesion within its members, in addition to interest and political commitment regarding the land of their ancestors.</t>
  </si>
  <si>
    <t>10.15359/ri.93-1.5</t>
  </si>
  <si>
    <t>Espinoza A.M.; Zunino H.M.; Tapia J.S.; Matarrita-Cascante D.</t>
  </si>
  <si>
    <t>The lifestyle migrants of Malalcahuello valley from postcolonial approach, La Araucania, Chile; [Los migrantes por estilo de vida del valle de Malalcahuello desde una perspectiva poscolonial, La Araucanía, Chile]</t>
  </si>
  <si>
    <t>Araucania; Colonialism; Lifestyle; Migration; Territory</t>
  </si>
  <si>
    <t>The purpose of this paper is to contribute to a further understanding of lifestyle migration from a postcolonial approach. We explore the differents types of discourses that lifestyle migrants produce during the post-migratory stage in the town of Malalcahuello, La Araucania Region. The study is based on a qualitative research design of associative type of cases by criteria in which we analize 21 semi-structured interviews. The results obtained allow to distinguish between two types of lifestyle migrants: dominants and reflexives, which indicate the differentiated manifestations of the phenomenon. Generally, dominant lifestyle migrants tend to apreciate the territorial transformation produce by them in the post-migratory stage and reproduce colonialist notions of social hierarchy already present in the host places, unlike reflexive migrants who tend to valuate their insertion in the pre-existent social network of local community. This findings contribute to the discussion about this types of migration in territories configured by recent colonization processes. © 2019 Universidad de Tarapaca.</t>
  </si>
  <si>
    <t>10.4067/S0719-26812019000100115</t>
  </si>
  <si>
    <t>Espinoza Soto, Adriana; Moreno Romero, Jenny; Klener Hernandez, Hans; Contreras Nunez, Barbara; Serka Arancibia, Josefina; Aguilera Ceballos, Jaime</t>
  </si>
  <si>
    <t>Experience of Haitian migrants affected by a fire in Santiago, Chile. A case study</t>
  </si>
  <si>
    <t>Haitian migration; vulnerability; Chile</t>
  </si>
  <si>
    <t>Socio-natural disasters represent some of the great challenges that we face today. If we add to the above a devastating earthquake, such as the one that occurred in Haiti in 2010, we are dealing with a catastrophe of proportions that are difficult to measure. Subsequent Haitian migration to the south of the South American continent has included Chile, among other destination countries. This article is based on a qualitative research process incorporating members of the Haitian community residing in Santiago, and who were affected by a fire in their homes in 2018. The results show the changes in their life projects as a result of the migratory processes experienced and the diverse dimensions of vulnerability that they have been exposed to in Chile. These findings can contribute to the formulation of migration policies that strengthen the resilience and social integration capacity of Haitian communities in Chile.</t>
  </si>
  <si>
    <t>Esposito F.; Rebelo D.; Olanrewaju M.; Vine M.; Fernandes-Jesus M.; Bodden D.; Kalokoh A.; Olson B.</t>
  </si>
  <si>
    <t>A community psychology for migrant justice: Critically examining border violence and resistance during the COVID-19 syndemic</t>
  </si>
  <si>
    <t>American Journal of Community Psychology</t>
  </si>
  <si>
    <t>border imperialism; border violence; community psychology for migrant justice; COVID-19 syndemic; no border solidarity and resistance</t>
  </si>
  <si>
    <t>This article explores the magnifying lenses of the COVID-19 syndemic to highlight how people racialized as migrants and refugees have been—and continue to be—disproportionally harmed. We use empirical evidence collected in our scholarly/activist work in Europe, Africa, South Asia, and the United States to examine migrant injustice as being produced by a combination of power structures and relations working to maintain colonial global orders and inequalities. This is what has been defined as “border imperialism.” Our data, complemented by evidence from transnational solidarity groups, show that border imperialism has further intersected with the hygienic-sanitary logics of social control at play during the COVID-19 period. This intersection has resulted in increasingly coercive methods of restraining people on the move, as well as in increased—and new—forms of degradation of their lives, that is, an overall multiplication of border violences. At the same time, however, COVID-19 has provided a unique opportunity for grassroot solidarity initiatives and resistance led by people on the move to be amplified and extended. We conclude by emphasizing the need for community psychologists to take a more vigorous stance against oppressive border imperialist regimes and the related forms of violence they re/enact. © 2023 The Authors. American Journal of Community Psychology published by Wiley Periodicals LLC on behalf of Society for Community Research and Action.</t>
  </si>
  <si>
    <t>1-2</t>
  </si>
  <si>
    <t>10.1002/ajcp.12669</t>
  </si>
  <si>
    <t>Estalayo Bielsa, Paula; Mino-Puigcercos, Raquel; Malinverni, Laura; Rivera-Vargas, Pablo</t>
  </si>
  <si>
    <t>The challenge of social inclusion, beyond school: Tensions and deficiencies in the integration policies of migrant girls and boys in Spain</t>
  </si>
  <si>
    <t>social inclusion; migration; education policies; school; care; segregation</t>
  </si>
  <si>
    <t>Despite the constant effort to promote the social inclusion of migrant children and young people from public policies and school practices, this is an objective that we are far from achieving, in regions around the world. This article presents the results of the analysis of 52 individual interviews (with stakeholders, school principals and education professionals), 12 discussion groups (with teachers and families) and 90 observations in schools. The results delve into the shortcomings and tensions of public policies for social inclusion, identified by policymakers, management teams, NGO directors and researchers from across the country. The analysis reveals that educational policies leave in the schools' hands a whole series of challenges that must be solved to promote the students' social inclusion. However, schools cannot assume many of these challenges, as their resolution is not within their reach. The paper points out key issues that must be urgently addressed from policies, especially in relation to inter and intra-school and inter-school segregation, resource management and the consolidation of a sustainable and coordinated network of educational actors.</t>
  </si>
  <si>
    <t>Estrada Turra, Baldomero</t>
  </si>
  <si>
    <t>Female immigration and ethnic identity: German women in Valparaiso. Late nineteenth century and early twentieth century</t>
  </si>
  <si>
    <t>Alpha-Revista de Artes Letras y Filosofia</t>
  </si>
  <si>
    <t>Immigration; Collectivity; Will; Identity</t>
  </si>
  <si>
    <t>The paper analyzes the participation of women in the migration process, since the mid-nineteenth century to the early twentieth century, through the established German community in Valparaiso. We stop specifically in social activity, professional work and family life of the German community, which we can access a little known field of women in the European migration, where they develop values and customs that are an important part of German identity. We mainly use as sources diaries and wills made by women.</t>
  </si>
  <si>
    <t>Etchegaray N.; Correa T.</t>
  </si>
  <si>
    <t>Media consumption and immigration: Factors related to the perception of stigmatization among immigrants</t>
  </si>
  <si>
    <t>International Journal of Communication</t>
  </si>
  <si>
    <t>Chile; Cultivation theory; Discrimination; Hostile media effect; Immigrants; Media; Social identity theory; Stereotype; Survey</t>
  </si>
  <si>
    <t>Images and attitudes about immigrants are fed and shaped by the media, and their effects are not innocuous. This study investigates the relationship between media exposure and perceptions of stigmatization among immigrants. Drawing from social identity, cultivation, and hostile media effect theories, it examines whether exposure to the media from the host country compared to the country of origin is associated with perceptions of negative media coverage and perceptions of discrimination among foreigners. A survey conducted among 603 Latin American immigrants who live in Santiago, Chile, found that many immigrants perceive that Chilean media promote negative images about immigrants. The study also found that immigrants who are exposed only to media of the host country have increased perceptions of discrimination against them than those who are also exposed to media of the country of origin. © 2015 (Nicolle Etchegaray &amp; Teresa Correa).</t>
  </si>
  <si>
    <t>Evans, David K.; Jakiela, Pamela</t>
  </si>
  <si>
    <t>The Role of Fathers in Promoting Early Childhood Development in Low- and Middle-Income Countries: A Review of the Evidence</t>
  </si>
  <si>
    <t>WORLD BANK RESEARCH OBSERVER</t>
  </si>
  <si>
    <t>early childhood development; parenting; fathers; gender roles; household income</t>
  </si>
  <si>
    <t>The role of fathers in parenting young children differs dramatically across societies. Policymakers in low- and middle-income countries (LMICs) are increasingly focused on increasing the amount of early childhood stimulation and other investments received by young children in an attempt to increase human capital accumulation, promote school readiness, and improve long-run outcomes. Until recently, few interventions targeted fathers, and most impact evaluations implicitly assumed that fathers played no meaningful role in parenting. We survey the emerging literature on fathers' involvement in early childhood stimulation and parenting in LMICs and summarize the patterns of results from rigorous impact evaluations. We find that fathers spend less time stimulating their children's development than do mothers or other adults who live in the same households in almost every country in our sample, and that mothers' and fathers' investments are positively associated. We also find evidence that fathers' take-up of parent training programs tends to be low, but that such programs have had effects on changing fathers' knowledge and-to a lesser degree-behaviors.</t>
  </si>
  <si>
    <t>10.1093/wbro/lkae009</t>
  </si>
  <si>
    <t>Eyquem, Mauricio</t>
  </si>
  <si>
    <t>Financial inclusion of Latin American migrants in Chile (2013-2017)</t>
  </si>
  <si>
    <t>ENCRUCIJADA AMERICANA</t>
  </si>
  <si>
    <t>Financial Inclusion; Latin American Migrants; Chile</t>
  </si>
  <si>
    <t>The financial inclusion of migrants is a contingent topic that has been developed strongly at the international level in recent years as the result of the high migratory flows occurring at the international level. This political research responds to the necessity to explore the financial inclusion levels of the migrant population segment in Chile, with the analysis centered on the 2013-2017 period on migrants from Latin America. The selected time period is mainly justified by the migration increase occurred in that period, as well as, the current debate regarding migration policies presented by the Chilean state given the contingency of the issue. Based on the assumption that greater financial inclusion is positive for both: migrants and the Chilean state, the research shows that despite the increase in migrants in the country, the access to financial services was limited and, in many cases, decreased in relation to previous years. Factors such as nationality and income play a determining role in this research to be able to explain the scope and level of financial access that the largest communities of Latin American migrants present in the country in the selected period have.</t>
  </si>
  <si>
    <t>Fabiola, Vilugron; Sanchez, Ximena; Casanueva, Daniela; Estela, Arcos</t>
  </si>
  <si>
    <t>Social support for immigrant women of Valparaiso, Chile.</t>
  </si>
  <si>
    <t>REVISTA ARGENTINA DE CIENCIAS DEL COMPORTAMIENTO</t>
  </si>
  <si>
    <t>women; immigration; quality of life; social support; social capital</t>
  </si>
  <si>
    <t>Social support is a resource for the quality of life of immigrant women and constitutes social capital. The objective was to identify the frequency and satisfaction of the social support perceived and received by immigrant women from the Valparaiso Health Centers. Study with a non-experimental, cross-sectional, descriptive design, using a social survey. The Perceived sociodemographic questions were applied to 227 women between 18 and 44 years old. Descriptive statistics, Pearson's R tests and analysis of variance were used. The results suggested that the country of for migration, housing, number of people residing in the dwelling, work, immigration status and diagnosis of diseases are related to frequency and satisfaction of perceived and received social support. Informational, material or emotional social support from immigrant networks contributes to their integration into the host society.</t>
  </si>
  <si>
    <t>Facuse Munoz, Marisol; Tham Testa, Maximiliano</t>
  </si>
  <si>
    <t>The audiences of migrant music scenes: Contributions to a sociology of reception</t>
  </si>
  <si>
    <t>sociology of reception; migration; cultural audiences; sociology of art</t>
  </si>
  <si>
    <t>The audiences of migrant music scenes: Contributions to a sociology of reception This article presents an analysis of the audiences of Latin American migrant music in Chile, examining the processes of reception and appropriation of these works and the cultural worlds that underlie them. Based on a qualitative approach, we seek to understand how these audiences relate to migrant music scenes, how they classify and re-signify them, and how they integrate them into other networks of associated cultural practices (artistic, festive, ritual). Through an interdisciplinary perspective in which sociology and musicology converge, analyzed 43 interviews with audiences of musical events held in various districts of Santiago de Chile. The results show that there is a diversity of interpretive models through which these audiences form attachments to these musical worlds, where affective, ideological, sensory, and cognitive components converge, showing the multiple nature of the reception experience.</t>
  </si>
  <si>
    <t>10.5565/rev/papers.2902</t>
  </si>
  <si>
    <t>Faggian A.; Crown D.; Perez-Silva R.</t>
  </si>
  <si>
    <t>Guest Editorial: Local labour markets, migration, and innovation</t>
  </si>
  <si>
    <t>Journal of Geographical Systems</t>
  </si>
  <si>
    <t>10.1007/s10109-019-00314-1</t>
  </si>
  <si>
    <t>Falkof, Nicky</t>
  </si>
  <si>
    <t>Expat anxieties: Risk and safety in Cape Town, South Africa and Santiago de Chile</t>
  </si>
  <si>
    <t>EUROPEAN JOURNAL OF CULTURAL STUDIES</t>
  </si>
  <si>
    <t>Chile; expats; fear of crime; global south; migration; South Africa</t>
  </si>
  <si>
    <t>This article considers 'expatriate' discourses about security in Cape Town, South Africa and Santiago de Chile. The cities themselves have reputations as desirable, beautiful, civilised, modern and welcoming, in contrast to lurid ideas about poverty, crime, filth and corruption that often characterise northern imaginings of the developing world. Yet, their locations within sub-Saharan Africa and Latin America, respectively, nonetheless mark them out as potential spaces of high risk for migrants from the north. In this article, I am interested in the way in which lifestyle migrants to these cities negotiate fears about risk and safety within their new homes. In order to consider this question, I discuss posts on the online messageboards dedicated to these two cities within the popular InterNations 'expat forum,' as well as a series of interviews with people who use the forum. I use these respondents' discursive constructions of safety, threat, otherness, belonging and the unknowability of the global south city to consider some of the affective underpinnings of this form of privileged migration.</t>
  </si>
  <si>
    <t>10.1177/13675494211013813</t>
  </si>
  <si>
    <t>Farber S.; Neutens T.; Carrasco J.-A.; Rojas C.</t>
  </si>
  <si>
    <t>Social interaction potential and the spatial distribution of Face-To-Face social interactions</t>
  </si>
  <si>
    <t>Environment and Planning B: Planning and Design</t>
  </si>
  <si>
    <t>Activity participation; Social contact; Social interaction potential; Time geography</t>
  </si>
  <si>
    <t>This paper investigates the spatial distribution of social activity locations. The research makes use of a social interaction potential (SIP) metric to estimate the potential for an individual to participate in a face-to-face social activity at any particular location in the city. The metric is shown to constitute a contact probability field that is sensitive to time- geographic constraints such as home locations, workplaces, and travel times. Empirical case studies drawn from samples in Ghent, Belgium and Concepción, Chile are used to evaluate the effectiveness of the SIP metric in assigning high potential scores to observed social activity episodes. Moreover, a regression model is used to estimate the marginal benefit of using successive levels of constraint detail. The results illustrate both positive and negative aspects of the SIP metric. The metric behaves very well in general; 75% of the time an observed activity location received a score in the 25th percentile. However, lower valued scores were more common in cases when the time-geographic constraints were not very strong (ie, when the commute duration was short), or when activities took place in the homes of the respondents. In the end, the results are a step towards validating the regional scale SIP metric and indicate that it may be useful in microsimulation models of daily travel and activity participation. © 2014 Pion Limited. All rights reserved.</t>
  </si>
  <si>
    <t>10.1068/b120034p</t>
  </si>
  <si>
    <t>Farrugia C.</t>
  </si>
  <si>
    <t>Making Sharing Work: Migrant Community Groups and Informal/Formal Work</t>
  </si>
  <si>
    <t>Critical Sociology</t>
  </si>
  <si>
    <t>Ethnography; gender; migration; neoliberalism; precarious work; sharing; sociology</t>
  </si>
  <si>
    <t>Migrant and refugee communities are at the forefront of highly feminised and precarious community sector work. Facing insecure labour contracts and contingent, competitive funding for activities, these communities routinely move between paid and unpaid work. Drawing on multi-sited and participatory ethnographic research and 30 semi-structured interviews with women of different African backgrounds living and working in western Sydney, this article explores the relationship between collective sharing practices and life as precarious workers. The sharing of material resources, information and support takes place beyond designated ‘workplaces’ and on a continuum of activity that moves between the formal and informal, public and private, productive and socially reproductive. This article uses a practice-based approach to foreground the social world of working migrant women. In doing so, it sheds light on the hidden, precarious work of an increasingly marketised community sector and the everyday and emergent ways that marginalised communities respond to precarious work under neoliberalism. © The Author(s) 2019.</t>
  </si>
  <si>
    <t>10.1177/0896920519864147</t>
  </si>
  <si>
    <t>Febres-Cordero, Belen; Brouwer, Kimberly C.; Rocha Jimenez, Teresita; Fernandez-Casanueva, Carmen; Morales-Miranda, Sonia; Goldenberg, Shira M.</t>
  </si>
  <si>
    <t>Communication Strategies To Enhance HIV/STI Prevention, Sexual and Reproductive Health, and Safety Among Migrant Sex Workers at the Mexico-Guatemala Border</t>
  </si>
  <si>
    <t>JOURNAL OF HEALTH CARE FOR THE POOR AND UNDERSERVED</t>
  </si>
  <si>
    <t>Sex workers; safety; migration; HIV/STI prevention; communication strategies; Latin America</t>
  </si>
  <si>
    <t>Communication-based interventions have been linked to improved health and social outcomes among underserved populations. Migrant women in sex work face serious health and social inequities, including risks of HIV and other sexually transmitted infections (STIs) and violence. Given gaps in evidence about health communication among migrant sex workers and the potential for communication-based interventions to promote health and safety, this qualitative study investigates experiences with accessing and sharing information regarding HIV/STI prevention, sexual and reproductive health, and physical safety among migrant sex workers at the Mexico-Guatemala border. Findings suggest that participatory peer-based, workplace, and m-health communication interventions could facilitate access to HIV/STI prevention, and to sexual and reproductive health/ safety resources for migrant women involved in sex work, while strengthening peer support networks and social cohesion. To have long-lasting results, such interventions must be complemented by broader structural changes, including sex work and migration law reforms, increased community mobilization, and improved working conditions.</t>
  </si>
  <si>
    <t>10.1353/hpu.2020.0060</t>
  </si>
  <si>
    <t>Feddersen Martinez, Mayra</t>
  </si>
  <si>
    <t>The persistence of the security paradigm in the regulation of entry requirements in the Chilean immigration law</t>
  </si>
  <si>
    <t>ONATI SOCIO-LEGAL SERIES</t>
  </si>
  <si>
    <t>Entry requirements; immigration laws; Chile; security; human rights</t>
  </si>
  <si>
    <t>This research aims to explore the regulation of entry requirements in all the immigration laws of Chile (1918, 1959, 1975) and in their reform projects (1993, 2013, 2017 and 2019). The analysis shows a continuity in how this institution has been conceived over time, in particular in regard to its security dimension. The article stresses that despite the explicit incorporation of rights in favor of migrants in the reforms promoted from 2008 to the present, the understanding of entry requirements has not changed substantially, which highlights the maintenance of the security paradigm in this institution by an entire centennial.</t>
  </si>
  <si>
    <t>10.35295/OSLS.IISL/0000-0000-0000-1227</t>
  </si>
  <si>
    <t>Feddersen, Mayra; Freier, Luisa Feline</t>
  </si>
  <si>
    <t>Unpacking the ideational foundations of South American migration governance: a systematic analysis of the South American conference on migration (SACM)</t>
  </si>
  <si>
    <t>GLOBALIZATIONS</t>
  </si>
  <si>
    <t>South America; migration governance; migrant rights; ideas; philosophies; &gt;</t>
  </si>
  <si>
    <t>Is there empirical evidence for a liberal paradigm that informs South American immigration governance? And how does this paradigm relate to other ideas on managing immigration? Based on Pecoud's (2020) categorization of immigration governance philosophies, and the content analysis of all final declarations of the South American Conference on Migration between 2000 and 2022, we confirm a dominant liberal paradigm in the region. We further find that in South America, Pecoud's global rights-based philosophy operates as a hinge between three other philosophies: the free (non) governance of migration, anti-migrant governance, and managerial/development global migration governance philosophy. Through our analysis, we demonstrate the applicability of Pecoud's (2020) immigration governance philosophies to a major immigrant receiving region in the Global South, and contribute to the ideational literature by showing how paradigms and philosophies represent ideational building blocks that can be combined, merged, and adapted by political actors to different regional contexts.</t>
  </si>
  <si>
    <t>10.1080/14747731.2023.2236886</t>
  </si>
  <si>
    <t>Feddersen, Mayra; Pascual, Tomas; Rodriguez-Atero, Macarena</t>
  </si>
  <si>
    <t>THE HUMAN RIGHT TO IMMIGRATE IN THE LATINAMERICAN LEGAL SYSTEM</t>
  </si>
  <si>
    <t>REVISTA CHILENA DE DERECHO</t>
  </si>
  <si>
    <t>human right to immigrate; conditions for entry; admissibility procedures</t>
  </si>
  <si>
    <t>This study aims to unravel the legal meaning of the human right to migrate, through a critical review of the political philosophy, the jurisprudence of the international human rights system and its materialization in the internal regulations of 19 Latin American countries. The analysis carried out allows us to maintain that non-nationals do not have a right to enter the country of choice. Although 8 countries expressly enshrine it, this has not given rise to free mobility. Indeed, all countries maintain broad entry prohibitions, based on the protection of national security, social order and compliance with immigration regula-tions. Notwithstanding, the human right to migrate has meant that 11 of the 19 countries have established some type of procedure to make decisions at the border, limiting their dis-cretion and adapting their actions to current international human rights standards.</t>
  </si>
  <si>
    <t>10.7764/R.492.3</t>
  </si>
  <si>
    <t>Felipe V.; Alejandro G.</t>
  </si>
  <si>
    <t>Mining commuting in Iquique, Chile (1990-nowadays): it’s everyday life conflicts in urban local historicity; [Conmutaciones mineras en Iquique, Chile (1990-actualidad): sus conflictos cotidianos en la historicidad urbana local]</t>
  </si>
  <si>
    <t>commuting; everyday life; historicity; Iquique; mining</t>
  </si>
  <si>
    <t>We discuss daily conflicts between two different mining historicities that are currently stressed in the city of Iquique: the saltpeter historicity and the copper historicity. We point out those conflicts through the following of mine workers commuting, whose daily movements put the local past and present in stress with each other, since their work dynamics today constantly modify the city of yesterday. Based on critical notions about the production of space and time, we understand urban space as an interrelation of mobility practices, while historicity as a socio-spatial production of historical time. Based on a multi-local ethnographic methodology, our results point to growing conflicts between the saltpeter and copper historicity in Iquique; specifically inscribed in dissimilar infrastructures, practices, and meanings. © 2023, Revista de Geografia Norte Grande. All rights reserved.</t>
  </si>
  <si>
    <t>10.4067/S0718-34022023000300111</t>
  </si>
  <si>
    <t>Fernanda Stang-Alva, Maria; Maureen Riedemann-Fuentes, Andrea; Stefoni-Espinoza, Carolina; Corvalan-Rodriguez, Javier</t>
  </si>
  <si>
    <t>Narratives on Cultural Diversity and Migration in Chilean Schools</t>
  </si>
  <si>
    <t>Chile; cultural diversity; education; critical interculturality; participatory research; migration</t>
  </si>
  <si>
    <t>This article explores from the critical interculturality the main tenets of the narrative accounts by different school actors in Chile (teachers, assistants, directors) regarding the challenges that the multiculturality poses to the teaching practice. This work is based on a qualitative study developed in five schools in three different neighborhoods of the Metropolitan Area (Independencia, Recoleta and Quilicura). The tenets identified are framed under two general discursive types: a first one, driven towards assimilation and universalization; a second one, related to the tolerance and hybridity. It is concluded that both types provides a functional view of the interculturality that must be questioned by taking into consideration the pedagogical practices where they become materialized.</t>
  </si>
  <si>
    <t>10.11144/Javeriana.m14.ndcm</t>
  </si>
  <si>
    <t>Fernández D.G.-M.; Amaro F.R.</t>
  </si>
  <si>
    <t>WE CHILEANS THERE IN THAT SULPHUR MINE WE WERE LIKE A MOLE”. BOLIVIAN PRESENCE IN SULPHUR AND BORAX MINING IN OLLAGÜE, NORTHERN CHILE (1879-1946); [LOS CHILENOS AHÍ EN ESA AZUFRERA ÉRAMOS COMO UN LUNAR. PRESENCIA BOLIVIANA EN LA MINERÍA DEL AZUFRE Y EL BÓRAX EN OLLAGÜE, NORTE DE CHILE (1879-1946)]</t>
  </si>
  <si>
    <t>Borax; Ethnic subsidiarity; Migration; Mining; Ollagüe; Sulphur</t>
  </si>
  <si>
    <t>This article quantifies, characterizes, and analyzes the Bolivian migration in the Ollagüe area and surrounding communities through the discovery of 335 migratory files dating from 1879 to 1946. It presents the periods of entry, places of origin, trade and profession, as well as the gender, marital status, age and literacy of Bolivian migrants who were involved in sulphur and borax mining. The characterization and analysis of the archives gives an account of the central role played by the Bolivian labor force in the development of non-metallic mining, concluding that the capitalist expansion on the Chilean border was sustained by an ethnic subsidiarity of a subordinate international labor force. © 2021. Dialogo Andino.</t>
  </si>
  <si>
    <t>10.4067/S0719-26812021000300431</t>
  </si>
  <si>
    <t>Fernandez Labbe, Juan; Diaz Allendes, Vivian; Aguirre Sanhueza, Tatiana; Cortinez O'Ryan, Valentina</t>
  </si>
  <si>
    <t>Colombian women in Chile: discourses and migration experiences from the perspective of intersectionality</t>
  </si>
  <si>
    <t>Colombian migration; Chile; female migrants; discrimination; intersectionality; racism</t>
  </si>
  <si>
    <t>The article inquires into the characteristics of the migration experiences of Colombian women in Chile in the 2010s, with an emphasis on their motivations and arrival in Chile, their job placement and financial management process, the sphere of care and family, and their experiences of discrimination and violence. The analysis is carried out on the basis of the concept of intersectionality, applied to the dynamics of the migrant women themselves, whose discourse constitutes the empirical material. The research approach is qualitative, based on interviews and focus groups with migrant women from the six countries with the largest migration flow to Chile in the last decade (Colombia, Dominican Republic, Bolivia, Peru, Argentina, and Venezuela) and currently residing there. In particular, the analysis contrasts the experiences narrated by Colombian women with those of female migrants from other Latin American countries, who arrived in Chile in the 2oios. On the one hand, this research confirms what has been pointed out by other studies regarding the relevance of the economic factor in the decision to migrate, the importance of family dynamics for these women (care, long-distance mothering, and remittances), and the presence of diverse types of discrimination. On the other hand, specific findings emerge in the case of Colombian women in Chile, such as escaping from gender violence as an important cause of migration; the job segmentation that pigeonholes them in the retail and services sectors; their greater awareness of rights and their proactive attitude in the face of abuse (work- and non-work-related); and the presence of a discriminatory pressure that does violence to them for being women and migrants, which is exacerbated when they are black women. intersectionality complicates the understanding of discrimination processes associated with the international division of reproductive labor by gender and with racist cultural elements, given that the findings of the study show that in Chile these take place in more complex and heterogeneous forms, together with racialization and sexualization processes.</t>
  </si>
  <si>
    <t>10.15446/rcs.v43n1.79075</t>
  </si>
  <si>
    <t>Fernández R.</t>
  </si>
  <si>
    <t>Commodification of domestic labour, the culture of servitude and the making of the Chilean nation; [Kommodifizierung von häuslicher Arbeit, Dienstbarkeitskultur und die Entstehung einer chilenischen Nation]</t>
  </si>
  <si>
    <t>Osterreichische Zeitschrift fur Soziologie</t>
  </si>
  <si>
    <t>Chile; Culture of servitude; Democracy; Paid domestic labour</t>
  </si>
  <si>
    <t>The objective of this article is to analyse the current dynamics of commodification of care and domestic labour in Chile from a feminist perspective. Drawing on interviews with upper-class employers in Santiago and a review of the new domestic labour law and the state programme Chile Cuida (Chile Cares), this article argues that the commodification of domestic labour is intensified today in a neoliberal context, where colonial and modern modes of labour organisation and subjectivities co-exist. With the continuity of a culture of servitude, paid domestic labour enables the Chilean State to portray itself as modern and gender-friendly and upper-class women can become modern women while maintaining patriarchal and racist arrangements within homes and the nation and without disassembling the traditional racial bond between nation and family in modern Chilean democracy. © 2018, Springer Fachmedien Wiesbaden GmbH, ein Teil von Springer Nature.</t>
  </si>
  <si>
    <t>10.1007/s11614-018-0290-1</t>
  </si>
  <si>
    <t>Fernández-Fernández A.L.</t>
  </si>
  <si>
    <t>Central American Transnational Families Headed by Single Women: Coloniality and Subjectivity in Nicaragua and Costa Rica</t>
  </si>
  <si>
    <t>Handbooks of Sociology and Social Research</t>
  </si>
  <si>
    <t>Coloniality of being; Female head of household; Gender; Migration; Performative practices</t>
  </si>
  <si>
    <t>This chapter analyses the subjectivity of migrant women, workers and heads of households living in San José, Costa Rica from a decolonial feminist perspective influenced by Judith Butler. Deploying life stories and ‘time-use’ diaries as methodological approaches, the research centres on eleven migrant women who devised practices that challenged their historically situated positions of victimhood. The migrant women moved towards ways of claiming autonomy in their lives, despite relationships of structural subjugation and ambivalent feelings of guilt and sacrifice. © 2023, The Author(s), under exclusive license to Springer Nature Switzerland AG.</t>
  </si>
  <si>
    <t>10.1007/978-3-031-15278-8_2</t>
  </si>
  <si>
    <t>Fernández-Mallat V.</t>
  </si>
  <si>
    <t>The maintenance and shift of socially unindexed linguistic features: The case of Bolivian migrants from the Andes in northern Chile; [Mantenimiento y desplazamiento de rasgos lingüísticos no indexados socialmente: Migrantes de los Andes bolivianos en el norte chileno]</t>
  </si>
  <si>
    <t>Lengua y Migracion</t>
  </si>
  <si>
    <t>Bolivian Andean Spanish; Chilean Spanish; Dialectal contact; Maintenance and shift of linguistic features; Migration; Speakers' sociolinguistic perception</t>
  </si>
  <si>
    <t>In this study, I examine the progression of socially unindexed linguistic features in the speech of migrants from the Bolivian Andes who have chosen to live in northern Chile. Based on previous studies, I test the hypothesis that unindexed features are not as easily given up as features that are salient and socially indexed in speakers' perception. Using linguistic data obtained through sociolinguistic interviews, I show that, depending on their linguistic nature, socially unindexed linguistic features can either be maintained practically intact or abruptly given up. These results are relevant for sociolinguistic studies that examine the outcomes of dialectal contact, because they refine their theoretical assumptions. © Universidad de Alcalá.</t>
  </si>
  <si>
    <t>Fernandez, Ivelisse Torres; Pereira, Steve R.; Aicart, Jen; Salas, Gonzalo</t>
  </si>
  <si>
    <t>Crossing International Borders in Search of a Better Life: Examining the Psychological Impact of the Immigration Experience</t>
  </si>
  <si>
    <t>migration; cycle of immigration; psychological impact</t>
  </si>
  <si>
    <t>The focus of this paper is to discuss the cycle of migration and its psychological impact on the lives of immigrants. An overview of current migration trends, a discussion on the cycle of immigration (Casas, 2014), and its psychological consequences are presented. A qualitative phenomenological approach was utilized to analyze the stories of four immigrants, which resulted in a thematic analysis that discusses the cycle of immigration and its impact. The paper concludes with a discussion of implications, limitations, and future research.</t>
  </si>
  <si>
    <t>10.11144/Javeriana.upsy16-5.cibs</t>
  </si>
  <si>
    <t>Fernandez, Matias</t>
  </si>
  <si>
    <t>Hanging Out Together, Surviving on Your Own: The Precarious Communities of Day Laborers</t>
  </si>
  <si>
    <t>JOURNAL OF CONTEMPORARY ETHNOGRAPHY</t>
  </si>
  <si>
    <t>day labor; precarity; solidarity; individualization; migration; marginality</t>
  </si>
  <si>
    <t>How does one make sense of a group of migrant men who spend much of their time together over several years, share a space as well as a social position, and behave in some respects like close friends, yet do not develop stable relationships of solidarity and collective forms of self-perception? What are the micro-foundations of these precarious communities? Drawing upon eight months of ethnographic fieldwork at three day labor sites in Los Angeles, this article explores three interlocking processes that sustain one of the most radical forms of marginality in contemporary the United States. It analyzes the economic, political, and cultural dispossession of day laborers through (1) market competition, (2) the embodiment of an undocumented status, and (3) the internalization of cultural exclusion. These individualizing mechanisms are argued to truncate basic forms of mutual solidarity, producing and reproducing the precarious communities of day laborers.</t>
  </si>
  <si>
    <t>10.1177/0891241617716743</t>
  </si>
  <si>
    <t>Ferrada Bórquez *, Juan Carlos; Uribe Peña **, Karina</t>
  </si>
  <si>
    <t>La “reagrupación familiar” como concepto y límite a los poderes del Estado de Chile en materia migratoria</t>
  </si>
  <si>
    <t>Revista de derecho (Valdivia)</t>
  </si>
  <si>
    <t>Immigration; family reunification; State powers</t>
  </si>
  <si>
    <t>ABSTRACT: The purpose of this paper aims to identify and specify the concept/principle of family reunification as a limit to the powers of the State Administration in migration matters. Based on a review of international standards and the jurisprudence of Supranational Courts on human rights it is possible identify some criteria that have been applied in this area giving content to this principle This analysis serves as the basis for analyzing Chilean legislation and jurisprudence in this topic, noting how it has been progressively applied, having now full recognition in domestic law, both in terms of refugee protection and migration legislation in general.</t>
  </si>
  <si>
    <t>Fervers L.; Ilg L.</t>
  </si>
  <si>
    <t>Can we get them moving? The impact of mobility assistance on cross-country migration of young adults in Europe</t>
  </si>
  <si>
    <t>determinants of migration; difference-in-differences; intra-EU migration; migration policy; mobility programmes</t>
  </si>
  <si>
    <t>Cross-country migration in Europe can have multiple advantages. Among others, it can function as a buffer against economic downturns that come along with inferior employment and education opportunities, especially for young adults. However, cross-country mobility of young adults in Europe remains low, as language barriers, the loss of social ties or cultural differences create obstacles for migration. Against this background, Germany has launched a mobility assistance programme that supports young adults from EU member states who wish to enter the dual education system in Germany. To assess the causal impact of this programme, we compare migration flows to Germany from participating and non-participating countries in a difference-in-differences framework. Our results reveal a substantial programme effect that is larger for countries with above-average youth unemployment rates. These results add to previous migration research and reveal that migration flows are indeed sensitive to policy initiatives aimed at increasing migration. © 2021 The Authors. International Migration published by John Wiley &amp; Sons Ltd on behalf of International Organization for Migration</t>
  </si>
  <si>
    <t>10.1111/imig.12872</t>
  </si>
  <si>
    <t>Fierro, Jaime; Parella, Sonia</t>
  </si>
  <si>
    <t>Social trust and support for immigrants' social rights in Spain</t>
  </si>
  <si>
    <t>Immigration; group threat theory; social trust; immigrants' social rights; Spain</t>
  </si>
  <si>
    <t>Immigration is one of the most contested issues in contemporary political life because of its possible implications for state welfare provisions of receiving countries. There is a fear that rising immigration will erode public support for social policies that benefit immigrants, particularly in contexts of economic crisis. However, some believe that social trust is a determining factor that may mitigate such anti-immigrant attitudes. We test both arguments for the case of Spain through multiple regression analyses of surveys on attitudes towards immigrants, carried out by the Centro de Investigaciones Sociologicas (CIS) from 2007 to 2017. While the results are consistent with expectations according to group threat theory, we also found that trusting individuals are more likely to support immigrants' social rights. Moreover, social trust lessens the negative effects of the perception of threat posed by outgroups -perceived economic threat and perceived size of their population- on support for immigrants' social rights.</t>
  </si>
  <si>
    <t>10.1080/1369183X.2021.1951688</t>
  </si>
  <si>
    <t>Fierro, Jaime; Parella, Sonia; Guell, Berta; Petroff, Alisa</t>
  </si>
  <si>
    <t>Generational cohorts versus national origin: Explaining the educational attainment among children of Latin American immigrants in Spain</t>
  </si>
  <si>
    <t>ETHNICITIES</t>
  </si>
  <si>
    <t>migration; generational age cohorts; national origin; educational achievement; Latin America</t>
  </si>
  <si>
    <t>Over the last 25 years, Spain has experienced a significant increase of Latin American immigrants, which has raised questions about their children's adaptation process. Yet, there is little evidence on the factors that explain school success or failure among this group. This paper aims to fill this gap by using data from the Longitudinal Study of the Second Generation in Spain (ILSEG is its Spanish acronym). The findings show that the children of Latin American immigrants are more likely to attain lower educational levels than the children of Spanish natives. However, concentrating on the national origin variable risks obscuring some underlying adaptive processes-associated with generational age cohorts-involved in differential educational outcomes among immigrant children. The data analyzed show that Latin American immigrant children born in Spain are likely to attain the same educational levels as their native Spanish peers. This finding highlights the importance of being raised in the host country in easing adaptation to the new society and the school system. The paper concludes with some policy suggestions in the field of education. Instead of treating all child migrants uniformly, public policies should address the specific needs of the target groups, emphasizing later arrivals.</t>
  </si>
  <si>
    <t>10.1177/14687968211073134</t>
  </si>
  <si>
    <t>Educational Achievement Among Children of Latin American Immigrants in Spain</t>
  </si>
  <si>
    <t>Migration; Second generation; Educational achievement; National origin; Latin America</t>
  </si>
  <si>
    <t>The ability of societies to increase social cohesion in the presence of large migratory flows depends on their capacity to promote the long-term integration of immigrants through education. While most studies agree that family socioeconomic background is the crucial factor influencing the educational achievement of immigrants' children, the existing evidence is still insufficient to rule out the impact of national origin. The statistical analysis of the last two waves of the Longitudinal Study of the Second Generation in Spain (ILSEG in its Spanish acronym) reveals that-as might be predicted by segmented assimilation theory-national origin is also an important factor. First, the children of Latin American immigrants are likely to attain lower levels of educational achievement than the children of Spanish natives. But second, such levels vary between immigrant groups: academic achievement patterns differ among the children of Latin American immigrants according to their national origin. This finding is-partially-explained by the severe impact of the 2008 economic crisis on immigrant groups and the differentiated capacity of co-ethnic communities to mitigate its effects. Finally, in terms of policy implications, educational policies must take account of the intersection between social class and the ethnic characteristics of the immigrant communities to which children belong.</t>
  </si>
  <si>
    <t>10.1007/s12134-021-00918-x</t>
  </si>
  <si>
    <t>Figueiredo, Ana; Ramírez, Carolina; Ivanova, Anna; Montagna, Pietro</t>
  </si>
  <si>
    <t>Representaciones de la migración durante la crisis sociosanitaria: Análisis lexicométrico de medios digitales chilenos</t>
  </si>
  <si>
    <t>Comunicación y medios</t>
  </si>
  <si>
    <t>Media representations; digital news; international migration; COVID-19; lexicometric analysis</t>
  </si>
  <si>
    <t>Abstract: This manuscript analyzes the representations of migration in digital news media, during the first six months of the COVID-19 pandemic in Chile. In total, 311 news from three digital news portals were analyzed, which differed in their editorial lines and were among the most consulted in Chile: El Mostrador, Cooperativa and EMOL. A mixed study (quantitative and qualitative) was carried out, through a lexicometric analysis, which allows analyzing large corpus of data. The results indicate the existence of six vocabulary classes (clusters), which reflect different ways in which the migratory phenomenon was represented during the COVID-19 pandemic. Our main results are discussed in terms of the contents in the different vocabulary classes, and in dialogue with other national and international studies. Beyond the situation of the pandemic, the exposed results open an invitation to advance in the understanding of migration representation in crisis contexts.</t>
  </si>
  <si>
    <t>47</t>
  </si>
  <si>
    <t>10.5354/0719-1529.2023.69037</t>
  </si>
  <si>
    <t>Figueroa Huencho, Veronica; Lagos Fernandez, Cristian; Manriquez Hizaut, Monica; Rebolledo Sanhueza, Jame</t>
  </si>
  <si>
    <t>Implementation Challenges in Public Policies Towards Indigenous Peoples: The Impact of Health Policies in Urban Contexts</t>
  </si>
  <si>
    <t>JOURNAL OF INTERCULTURAL STUDIES</t>
  </si>
  <si>
    <t>Indigenous peoples; intercultural health; migrations; public policy implementation; Chile</t>
  </si>
  <si>
    <t>POLITICS</t>
  </si>
  <si>
    <t>How are indigenous public health policies implemented in contexts of diversity? The rural-urban migration processes that indigenous people have experienced since the mid-19905 in Latin American countries have affected the implementation of public policies, especially in the field of health. These processes have put pressure on ancestral practices of territorial representation, challenging traditional mechanisms that have supported western health policies. Based on a case study in urban Chile, this article examines the implementation processes of indigenous public policies in field of intercultural health. The analysis is informed by data collected from in-depth interviews with 35 key actors (Indigenous health practitioners, managers, health professionals, users, indigenous leaders), who have played a role in different stages in the implementation process of 'Indigenous Peoples Special Health Program (PESPI)'. The data points to some challenges that persist with the implementation and adaption to this policy into a Western Health Model, where indigenous practices do not always find space to develop. The data collected reveals the efforts that indigenous people make in order to maintain their traditions and practices in different territorial contexts. The findings have the potential to enrich discussion and decision-making on intercultural and or indigenous health policies in other countries experiencing similar issues.</t>
  </si>
  <si>
    <t>10.1080/07256868.2020.1779201</t>
  </si>
  <si>
    <t>Figueroa J.; Ávila N.; Castillo C.; Espinosa M.J.</t>
  </si>
  <si>
    <t>Teaching writing to migrant students: Reflections and proposals for an inclusive classroom; [ENSEÑANZA DE LA ESCRITURA A ESTUDIANTES MIGRANTES: REFLEXIONES Y PROPUESTAS PARA UN AULA INCLUSIVA]</t>
  </si>
  <si>
    <t>Lenguas Modernas</t>
  </si>
  <si>
    <t>classroom interaction; learning Spanish as a second language; metalinguistic reflection; Migration; pedagogical strategies</t>
  </si>
  <si>
    <t>This study addresses the new context of language classrooms with increasing migrant school population. This article offers a pedagogical proposal for writing development based on an analysis of classroom interactions in the subject of language arts in contexts of a high migrant population. This proposal seeks to promote the acquisition of both low-level and higher-order skills involved in purposeful writing through reflection on the uses of language in order to promote an intercultural classroom. Three 5th-grade classrooms with a high percentage of migrant students were observed, and a thematic analysis of the data obtained was carried out. The results indicate that the classroom interactions promoted by the teachers in the classrooms observed focus on the management of learning environments to motivate student participation and activate previous knowledge, to the detriment of reflection on the students’ language or the diverse cultural practices. Therefore, the proposed pedagogical sequence is based on promoting interculturality in the language arts class by creating authentic tasks that allow for dialogue around reading and writing practices. Thus, throughout the sequence, we reflect on linguistic and discursive conventions, which allow us to increase motivation, value the diversity of identities, and favor a teaching and learning process with high expectations for all students. Finally, implications for educational practice and teacher training are discussed to provide more significant opportunities for equity and social justice from an intercultural perspective in language classrooms. © 2023 University of Chile. All rights reserved.</t>
  </si>
  <si>
    <t>Finn V.</t>
  </si>
  <si>
    <t>Migrant voting: here, there, in both countries, or nowhere</t>
  </si>
  <si>
    <t>citizenship conceptual dimensions; dual transnational voting; non-resident emigrant citizens; Noncitizen resident immigrants; noncitizenship; post-enfranchisement</t>
  </si>
  <si>
    <t>Moving past the literature on states granting migrant voting rights, in this article I focus on individuals exercising rights in order to question the connections between (non)citizenship, political membership, and participation in contemporary societies. With over 120 countries worldwide having enfranchised migrants in some form, the binary of ‘here’ and ‘there’ is insufficient to categorize and study migrant political engagement. This article contains a new typology to classify the four options of migrant voting: immigrant (only in the destination country), emigrant (only in the origin country), dual transnational (in both), and abstention (in neither). While emigrant voting requires citizenship, immigrant noncitizen voting does not, so active noncitizen voting weakens the defining dimensions of citizenship as a concept. As a first application, I analyze differences between individuals pertaining to each of the four types, based on a 2017 survey of 680 migrants in Chile since this country grants extensive migrant suffrage rights. © 2020 Informa UK Limited, trading as Taylor &amp; Francis Group.</t>
  </si>
  <si>
    <t>10.1080/13621025.2020.1745154</t>
  </si>
  <si>
    <t>Finn V.; Ramaciotti J.P.</t>
  </si>
  <si>
    <t>Reject, Reject, Reject…Passed! Explaining a Latecomer of Emigrant Enfranchisement</t>
  </si>
  <si>
    <t>Politics and Governance</t>
  </si>
  <si>
    <t>Chile; democratic norms; emigrant enfranchisement; external voting; political regimes</t>
  </si>
  <si>
    <t>Despite the extensive spread of external voting across the world, exceptions remain as some countries have not passed such regulations (e.g., Uruguay) or have passed them but lag implementation (e.g., Nicaragua). Others still took a long time to join the trend, possibly presenting a pushback to the commonly accepted notion of norm diffusion to explain migrant enfranchisement. We examine a latecomer by asking why Chile took so long to enfranchise emigrants. Classified as a liberal democracy with a century of legal history of foreign‐resident voting, it repeatedly rejected proposed bills on external voting since 1971. Chile enacted external voting only in 2014, regulated it in 2016, and applied it in 2017. Through legal historical content analysis, we identify which political actors proposed the bills, when, and why each failed. Left and right‐leaning actors gave normative, legal, and procedural reasons that resulted in rejection and stagnation at various institutional stages. This latecomer’s constitutional tradition, strongly focused on territory and territorial links, potentially sheds light on dozens of other country cases of late adoption of the external franchise. © 2024 by the author(s), licensed under a Creative Commons Attribution 4.0 International License (CC BY).</t>
  </si>
  <si>
    <t>10.17645/pag.7331</t>
  </si>
  <si>
    <t>Finn, Victoria</t>
  </si>
  <si>
    <t>Enfranchising migrants in Chile: a century of politics, elites, and regime changes</t>
  </si>
  <si>
    <t>Migrant enfranchisement process; top-down suffrage; political elites; migrant voting rights; legislative historical analysis</t>
  </si>
  <si>
    <t>Enfranchising migrants into the demos is a growing global trend, not exclusive to democracy. Analysing a country that has expanded migrant suffrage in both democracy and dictatorship, I address how and why Chile became one of the most inclusive countries worldwide for migrant voting rights. Chile was a pioneer for enacting select immigrant suffrage rights in relative democracy in 1925, expanded the rights in 1980 during dictatorship, then was a latecomer for granting emigrant voting rights in liberal democracy in 2014. Stepping away from analysing enfranchisement in consolidated democracies in the 'Global North', I unpack almost a century of elite-led top-down politics in Chile through historical analysis and taking 1980 enfranchisement as an extreme case. The evidence comes from constitutional laws, transcribed debates from constitutional commission sessions, scholarly literature, national censuses, and electoral data. The findings reveal the durability of migrant voting rights and a normative path dependence of who belongs as voters. Inclusivity requires not only continued implementation in elections but also rights survival through shifting ideology and political regime types.</t>
  </si>
  <si>
    <t>10.1080/1369183X.2023.2182714</t>
  </si>
  <si>
    <t>Finn, Victoria; Dona-Reveco, Cristian</t>
  </si>
  <si>
    <t>Peaks and Pitfalls of Multilevel Policy Coordination: Analyzing the South American Conference on Migration</t>
  </si>
  <si>
    <t>MIGRATION LETTERS</t>
  </si>
  <si>
    <t>migration governance; migration management; multilevel policy; regional consultative processes; South America</t>
  </si>
  <si>
    <t>Regional Consultative Processes (RCPs) have become a central component of migration governance; these are the loci of interstate migration policy discussions. Currently 15 RCPs meet worldwide in every region, except the Caribbean, to form non-binding agreements and to coordinate migration policy approaches. Building on previous reports, migration governance literature, and existent thematic analyses specific to the region, we evaluate RCPs' multilevel migration policy coordination by comparing national laws to regional topics and accords. We compare two decades of national legislation in all 12 South American countries to regional discussion at the South American Conference on Migration (SACM) since its first annual meeting in 2000. We find synergies and discrepancies between translating regional migration governance strategies from the RCP into national-level migration management. The SACM has reinforced the member states' focus on regional integration and provided a space for dialog to agree on approaches and best practices. Yet, countries have not uniformly incorporated these into national legislation. Our multilevel analysis reveals the complexities that RCPs face in overcoming regional-national discrepancies in immigration policy coordination.</t>
  </si>
  <si>
    <t>10.33182/ml.v18i4.1234</t>
  </si>
  <si>
    <t>Finn, Victoria; Umpierrez de Reguero, Sebastian</t>
  </si>
  <si>
    <t>Inclusive Language for Exclusive Policies: Restrictive Migration Governance in Chile, 2018</t>
  </si>
  <si>
    <t>LATIN AMERICAN POLICY</t>
  </si>
  <si>
    <t>restrictive migration governance; migration management; policy gap debate; executive decree; exclusive immigration policy; South America</t>
  </si>
  <si>
    <t>Contemporary liberal democracies have employed exclusive or restrictive language, such as promising stricter border control, to ease domestic concerns about increased immigration, while simultaneously maintaining inclusive outcomes by accepting immigrants to support labor markets or to concur with global norms. Dynamic changes in migration flows disrupt this exclusive-inclusive balance known as the policy gap. Aligned with the South American shift since 2016 to more restrictive migration measures, in 2018, Chile's new administration proposed legislation to replace the migration law, started a regularization process, and issued two executive decrees to change nationality-specific visa procedures. We analyze the language, timing, and implementation of the decrees as units of analysis, juxtaposing their apparent versus actual purposes. Since Chile positions restrictive measures as protective of immigrants, this case of migration governance inverses the policy gap debate; now, inclusive language disguises exclusive outcomes.</t>
  </si>
  <si>
    <t>Fischer, Carl</t>
  </si>
  <si>
    <t>Sexual/Textual Migrations: Queer of Color Theory in Chile</t>
  </si>
  <si>
    <t>Chile; Queer; Exceptionalism; Migration; Racism</t>
  </si>
  <si>
    <t>This article argues that the resistance to certain foreign influences in Chilean queer thought is an understandable defense against neocolonial adaptations of queer theory into local debates, but can also leave issues of race and experiences of racialized sexuality by the wayside. It then examines the work of one Black queer migrant to Chile, the Dominican performance artist Johan Mijail, to show how Black queer theory can not only help expand the focus of Chilean queer theory beyond US imperialism and neoliberalism to questions of race, migration, and hemispheric colonialism, but also strengthen existing critiques of Chilean exceptionalism.</t>
  </si>
  <si>
    <t>10.6092/issn.2036-0967/15322</t>
  </si>
  <si>
    <t>Flanagan-Bórquez, Andrea; Cáceres-Silva, Kimberly; Reyes-Alarcón, Javiera</t>
  </si>
  <si>
    <t>Experiencias de maestros en el trabajo con estudiantes inmigrantes: desafíos para el logro de aulas inclusivas</t>
  </si>
  <si>
    <t>Revista Colombiana de Educación</t>
  </si>
  <si>
    <t>multicultural education; immigrant; teachers' experiences; diversity; inclusion</t>
  </si>
  <si>
    <t>Abstract In the last decades, the predominant scenario in Latin America has consisted of intraregional migrations, which have impacted educational systems and, especially, teachers. This qualitative-phenomenological study aims to investigate processes experienced by teachers, who teach immigrant students in the region of Valparaíso, Chile. Semi-structured interviews were utilized to learn about the experiences of 10 teachers from one rural and one urban school, which are characterized for having diverse students. Despite the important territorial and cultural differences between schools, findings reveal similarities in the way the teachers face diversity, which is developed individually and intuitively and does not permeate all areas within the school.</t>
  </si>
  <si>
    <t>85</t>
  </si>
  <si>
    <t>10.17227/rce.num85-11997</t>
  </si>
  <si>
    <t>Florinskaya Y.F.; Karachurina L.B.</t>
  </si>
  <si>
    <t>New wave of intellectual emigration from Russia: Motives, channels and mechanisms; [НОВаЯ ВОЛНа ИНТЕЛЛЕкТУаЛьНОЙ ЭМИГРаЦИИ ИЗ РОССИИ: МОТИВЫ, каНаЛЫ И МЕХаНИЗМЫ]</t>
  </si>
  <si>
    <t>Monitoring Obshchestvennogo Mneniya: Ekonomicheskie i Sotsial'nye Peremeny</t>
  </si>
  <si>
    <t>Emigration; Highskilled experts; Migration; Migration flows; Migration intentions; Resources; Skilled migrants; Social networks</t>
  </si>
  <si>
    <t>The papers analyzing modern emigration intentions of Russians and their fulfillment are not numerous. One of the reasons behind that is the lack of reliable statistical data concerning persons who leave their home country and do not notify the registration body of their departure for the new place of residence. However they are great in number. What can be done to fill the gap is to provide a statistical analysis of the main countries accepting Russian emigrants, which was already done by certain researchers, or to use qualitative sociological methods. The present paper analyzes the results of semistructured interviews with skilled emigrants who left Russia in 2011—2017; the interviews were part of a research project conducted by the Institute for Social Analysis and Forecasting of the Russian Presidential Academy of National Economy and Public Administration in 2017. The analysis of participant interviews helps to indentify the motives, channels and mechanisms of Russian emigrants with higher education diplomas and to answer the questions referring to similarities and differences between individuals of different professions, age groups and those leaving for different countries when they choose certain patterns. The authors conclude that the lack of relevant differences in intentions across all the abovementioned groups is one of the main findings. Over recent years most of skilled emigrants have been driven primarily by economical and partially by political motives. Nevertheless, the choice of channels and mechanisms of emigration are greatly shaped by the professional background, type of employment, age and even the migration direction. IT workers and employees working in finance and economic sector tend to relocate using labor contracts; young scientists opt for grant schemes or free internships; older generation involving creative professionals and people of liberal professions turn to education channels using their own funds. The group of remote job skilled emigrants is distinctive as they use the whole variety of channels and mechanisms to move abroad. © 2018 Russian Public Opinion Research Center, VCIOM. All rights reserved.</t>
  </si>
  <si>
    <t>10.14515/monitoring.2018.6.09</t>
  </si>
  <si>
    <t>Forero-Montoya B.</t>
  </si>
  <si>
    <t>Representation of a foreign woman in contemporary Japan</t>
  </si>
  <si>
    <t>Asian Journal of Social Science</t>
  </si>
  <si>
    <t>Japan; Latin America; Media representation; Otherness; Women</t>
  </si>
  <si>
    <t>Under the conceptual framework of foreign Otherness in Japan, the article explores the media representation of a Latin American woman, Anita Alvarado. It proposes that she became a well-known character who was instrumental in the othering processes of foreign identities in Japan. Originally from Chile, Alvarado moved to Japan and became involved in a scandalous fraud committed by her husband. Since then, Japanese media have produced content that continue reminding audiences of the incident, while simultaneously creating an atmosphere of suspicion around her. Based on a content analysis and a textual analysis of written news, the article argues that media references to Alvarado nourish the Japanese structure of othering. © Koninklijke Brill NV, Leiden, 2020.</t>
  </si>
  <si>
    <t>10.1163/15685314-04805003</t>
  </si>
  <si>
    <t>Fouratt C.E.; Voorend K.</t>
  </si>
  <si>
    <t>Sidestepping the state: Practices of social service commodification among nicaraguans in Costa Rica and Nicaragua</t>
  </si>
  <si>
    <t>JOURNAL OF LATIN AMERICAN STUDIES</t>
  </si>
  <si>
    <t>Bureaucracy; Healthcare; Legality; Migration; Remittances; Social services</t>
  </si>
  <si>
    <t>In Costa Rica, there is a widespread belief among the public and policymakers that the country's 'exceptional' universal healthcare system represents a magnet for Nicaraguan immigrants. However, examining immigrants' actual access to social policy demonstrates the importance of legal and extra-legal mechanisms of exclusion that go hand in hand with official recognition of human rights. This paper critically assesses the relationship between migrants and the state, and public social policy in particular, in both sending and receiving country. We analyse the extent to which Nicaraguan migrant families on both sides of the Costa Rica-Nicaragua migration system incorporate public social protection in their welfare strategies. Drawing on two sets of qualitative data, we find that, on both sides of the border, migrants and their families display very similar commodified practices of welfare strategies, side-stepping the state and purchasing services in the private sector. © Cambridge University Press 2017.</t>
  </si>
  <si>
    <t>10.1017/S002.2.2.16X17001195</t>
  </si>
  <si>
    <t>Franco, Carolina Maldonado; Guerra, Carlota; Gutierrez, Fedra Alexis</t>
  </si>
  <si>
    <t>In the postporn suburbs of the North: knitting dissident sexualities in Paris</t>
  </si>
  <si>
    <t>KAMCHATKA-REVISTA DE ANALISIS CULTURAL</t>
  </si>
  <si>
    <t>Postporn; performance; body; sexuality; su-daca</t>
  </si>
  <si>
    <t>This text corresponds to a performative lecture at the conference Des-posesi??n/D??possession, that took place between December 4 and 6, 2019 at Bordeaux-Montaigne University. In this intervention we intended to present fragments from our situated experiences, embodied in the borders as migrants, that are knitted by the means of post-porno. We propose to expose how post-porno emerges as a possible response to the power relations that traverse us in the context of our migration, from different countries in Latin America (Chile, Peru and Colombia) to Paris. To translate this experience into writing, we present our intervention in the form of a script, accompanied by evocative images. We seek to contribute to a reflection on the movement of our bodies and sexualities from a critical and situated perspective, drawing from the creation of counter-hegemonic representations and experiences of our bodies.</t>
  </si>
  <si>
    <t>10.7203/KAM.19.20312</t>
  </si>
  <si>
    <t>Freddi, Andrea; Carreno, Alejandra; Merida, Leopoldo Martinez</t>
  </si>
  <si>
    <t>Concrete Desires of (In)mobility. Indigenous Migrations and the Architecture of Remittances between the Communal and the Transnational</t>
  </si>
  <si>
    <t>Communalism; Guatemala; indigenous population; local community; popular architecture; remittances; return mig ration; transnationalism</t>
  </si>
  <si>
    <t>The indigenous communities of Guatemala have historically been presented as societies of rural origin, whose form of political and social organization is based on the maintenance of community or communal ties. However, for several decades, these societies have been part of massive migratory processes that have made them active participants in one of the structural dimensions of the globalization process: transnationalism. This article aims to analyze the transformation of an indigenous community, Todos Santos (Guatemala), from the perspective of the new ways of reinventing the communal space through the local architecture that is being intervened by migrants with access to remittances. The recreation of the imaginary of the global through houses and constructions that represent the odyssey of migration is analyzed as part of the strategies that indigenous communities generate to negotiate with the global phenomena of which they are active parts. This analysis invites us to reflect on the communal and transnational links of the indigenous groups, which are reflected in the specific forms taken by the spaces they inhabit.</t>
  </si>
  <si>
    <t>10.7440/res72.2020.02</t>
  </si>
  <si>
    <t>Freeman C.</t>
  </si>
  <si>
    <t>The crime of choice: abortion border crossings from Chile to Peru</t>
  </si>
  <si>
    <t>Gender, Place and Culture</t>
  </si>
  <si>
    <t>Abortion; biopolitics; Chile, Peru, border crossings; reproductive rights</t>
  </si>
  <si>
    <t>Since 1989 abortion in Chile has been illegal in every single circumstance. This means that tens of thousands of women every year undergo clandestine abortions at great risk to their health. Class directly influences Chilean women’s relationships to abortion; wealthier women can pay for the confidentiality of a safe doctor whereas poorer women cannot. There is just one region where women regardless of class can easily travel to another country in search of abortions, Arica in northern Chile. This article considers the previously unstudied phenomenon whereby women cross the border quickly and cheaply from northern Chile to the Peruvian city of Tacna where numerous clinics offer the procedure. This article utilises Foucault’s concept of biopolitics to trace how women are forced to cross a border to avoid government legislation and finds that even by leaving the territory of the state, women do not fully leave state control. Despite the lack of official statistics, interviews with healthworkers and a young woman who made the crossing show that abortion border crossings do occur and this article reflects on the legal, safety, and biopolitical ramifications of these journeys for Chilean women. © 2017 Informa UK Limited, trading as Taylor &amp; Francis Group.</t>
  </si>
  <si>
    <t>10.1080/0966369X.2017.1339020</t>
  </si>
  <si>
    <t>Freier, Luisa Feline; Vera Espinoza, Marcia</t>
  </si>
  <si>
    <t>COVID-19 and Immigrants' Increased Exclusion: The Politics of Immigrant Integration in Chile and Peru</t>
  </si>
  <si>
    <t>FRONTIERS IN HUMAN DYNAMICS</t>
  </si>
  <si>
    <t>COVID-19; South America; venezuelan displacement; immigrant integration; immigrant exclusion; xenophobia</t>
  </si>
  <si>
    <t>The COVID-19 pandemic has put into sharp relief the need for socio-economic integration of migrants, regardless of their migratory condition. In South America, more than five million Venezuelan citizens have been forced to migrate across the region in the past five years. Alongside other intra-regional migrants and refugees, many find themselves in precarious legal and socio-economic conditions, as the surge in numbers has led to xenophobic backlashes in some of the main receiving countries, including Chile and Peru. In this paper, we explore in how far the COVID-19 crisis has offered stakeholders an opportunity to politically reframe migration and facilitate immigrant integration or, rather, further propelled xenophobic sentiments and the socio-economic and legal exclusion of immigrants.</t>
  </si>
  <si>
    <t>10.3389/fhumd.2021.606871</t>
  </si>
  <si>
    <t>Fuenmayor, Pedro Luis Bracho</t>
  </si>
  <si>
    <t>Criminality and migration in Chile, a look from the mass media</t>
  </si>
  <si>
    <t>REVISTA DE LA UNIVERSIDAD DEL ZULIA</t>
  </si>
  <si>
    <t>criminality; migration; Chile; Venezuela; Mass Media</t>
  </si>
  <si>
    <t>The purpose is to analyze the correspondence between crime and migration in Chile, a look from the communication media, taking into account the reality regarding the perception that Chileans have of Venezuelans as immigrants. It is a documentary study, with analyzes by different authors such as: Gutierrez et al (2020), Guillen et al. (2019), Leiva et al. (2020), Bahar et al. (2020), Jesuit Migration Service (2020, 2021) International Organization for Migration (2018), among others; who have tried to make visible the situation experienced by many immigrants when they arrive in other countries to improve their quality of life, and do not find understanding and empathy to overcome deficiencies and demonstrate their skills in jobs that can contribute to their existence. The determining result is that information and news from the media (radio, print, digital) affects reality, influencing the perception of Chileans regarding these immigrants.</t>
  </si>
  <si>
    <t>10.46925//rdluz.38.02</t>
  </si>
  <si>
    <t>Fuentes, Claudio A.; Fernandez, Juan E.</t>
  </si>
  <si>
    <t>The four worlds of recognition of indigenous rights</t>
  </si>
  <si>
    <t>Indigenous peoples; constitutional recognition; nation-state; plurinationalism; multiculturalism</t>
  </si>
  <si>
    <t>The demands of indigenous peoples pose radical questions about how we understand the capitalist mode of production, socio-cultural relations and the distribution of political power within a state. This paper presents a systematic study of the way in which these three dimensions (territorial, socio-cultural and political) are addressed in the constitutions of 59 countries in different parts of the world. We identify what we refer to as four worlds of recognition, based on these texts' distinctive configurations of indigenous rights. We then analyse emblematic cases as a means of better illustrating each of these groups. The paper makes a theoretical-conceptual and empirical contribution by identifying certain clusters of indigenous rights that are present cross-regionally and within regions of the world.</t>
  </si>
  <si>
    <t>10.1080/1369183X.2020.1797478</t>
  </si>
  <si>
    <t>Fuerte-Celis M.D.P.; Zizumbo-Colunga D.</t>
  </si>
  <si>
    <t>Why do Citizens Criminalize Migrants? Experimental Evidence from a Multi-Role Country, Mexico</t>
  </si>
  <si>
    <t>International Migration Review</t>
  </si>
  <si>
    <t>criminalization; experiment; Mexico; migration; multi-role countries; nationality; skin tone</t>
  </si>
  <si>
    <t>Every year, millions of immigrants arrive in countries that play multiple roles: they expel them, receive them, or shelter them. Sometimes, citizens welcome immigrants with open arms. Other times, they perceive them as potential criminals. Surprisingly, there is little research on the determinants of criminalization in multi-role countries. In this article, we analyze the results from a nationally representative survey experiment where we investigate how two sources of variation (the skin tone and national origin of others) bias citizens’ willingness to blame suspects for crime. We find that individuals criminalize suspects more when they have a darker skin tone and, against expectations, less when they come from El Salvador. Moreover, in exploratory analyses, we find that coloristic bias is exacerbated among individuals with lower levels of education and, surprisingly, among those with a darker skin tone. Also interesting is that we found that, against contact theory, anti-American bias is stronger among Mexicans with direct or indirect cross-national contact. Our results highlight the various degrees to which migratory contexts influence public opinion. © The Author(s) 2024.</t>
  </si>
  <si>
    <t>10.1177/01979183241232625</t>
  </si>
  <si>
    <t>Gaete Quezada, Ricardo; Rodriguez Sumaza, Carmen</t>
  </si>
  <si>
    <t>An Approach to the Analysis of Migratory Chains in Spain from the National Immigrant Survey</t>
  </si>
  <si>
    <t>REVISTA DE CIENCIA POLITICA</t>
  </si>
  <si>
    <t>Migratory chains; immigration in Spain; demography; National Immigrant Survey; relational paradigm</t>
  </si>
  <si>
    <t>This paper focuses on the First National Immigrant Survey in Spain from the perspective of the migratory chains as an explanatory paradigm of migration processes in the country. The first part provides a literature review of key aspects of the concept of migratory chains. In the second part, we identify and discuss the survey results related to migratory chains, such as: contacts in Spain before arrival, influence of contacts in the decision to travel, money transfer, contacts in the immigrant's home country and intention of bringing relatives.</t>
  </si>
  <si>
    <t>Gaete-Quezada, Ricardo</t>
  </si>
  <si>
    <t>Repatriation in Latin America during the pandemic: humanitarian drama and human rights</t>
  </si>
  <si>
    <t>HALLAZGOS-REVISTA DE INVESTIGACIONES</t>
  </si>
  <si>
    <t>human rights; border; return migration; pandemic; media; international relations</t>
  </si>
  <si>
    <t>The article analyzes the governmental measures implemented by Chile and El Salvador during the pandemic to manage the repatriation of their nationals and resident citizens who were stranded abroad due to the closing of borders, a decision imposed by governments worldwide as a measure to contain the health crisis generated by COVID-19 in their territories. The restriction to the freedom of movement of people across borders caused in several countries of the region an additional humanitarian drama to the devastating effects of the global health crisis, so this paper examines this problem from the coverage given by the Latin American media to the repatriation processes of Chileans and Salvadorans as case studies, through a qualitative documentary analysis of the news about the main difficulties and consequences generated by this humanitarian drama. An important conclusion of the study recognizes the relevance of the administrative, logistic, and communicational capacity that the diplomatic missions of Latin American countries should develop, as well as the preeminence of human rights in international relations in order to face more responsibly the migratory crisis caused by the closing of borders for sanitary reasons.</t>
  </si>
  <si>
    <t>10.15332/2422409X.6766</t>
  </si>
  <si>
    <t>Gajardo A.</t>
  </si>
  <si>
    <t>Performing the ‘India Permitida’: The Counter-Gift of Indigenous Women Targeted by a Corporate Social Responsibility Programme (Chile)</t>
  </si>
  <si>
    <t>anthropology of corporate social responsibility; Chile; Diaguita people; indigenous women; mining; neoliberal multiculturalism</t>
  </si>
  <si>
    <t>Relying on ethnographic data, this article critically analyses the pro-mining position adopted in Chile's Atacama Region by a group of Diaguita women who benefited from a corporate social responsibility (CSR) programme to revive indigenous culture. While the desire to escape from poverty (salir adelante, moving forward) appears as the main reason for participating, the benefits generated a sense of indebtedness resulting in allegiance to the company. The investigation also shows how this programme played a part in building a scenario in which indigenous females perform subjects apparently more suited than men to the neoliberal and multiculturalist governmentality of the Chilean State, whose politics favours mining. © 2020 Society for Latin American Studies</t>
  </si>
  <si>
    <t>10.1111/blar.13143</t>
  </si>
  <si>
    <t>Galaz Mandakovic Fernández, Damir; Rivera Amaro, Francisco</t>
  </si>
  <si>
    <t>LOS CHILENOS AHÍ EN ESA AZUFRERA ÉRAMOS COMO UN LUNAR. PRESENCIA BOLIVIANA EN LA MINERÍA DEL AZUFRE Y EL BÓRAX EN OLLAGÜE, NORTE DE CHILE (1879-1946)</t>
  </si>
  <si>
    <t>Diálogo andino</t>
  </si>
  <si>
    <t>Migration; mining; sulphur; borax; ethnic subsidiarity; Ollagüe</t>
  </si>
  <si>
    <t>This article quantifies, characterizes, and analyzes the Bolivian migration in the Ollagüe area and surrounding communities through the discovery of335 migratory files dating from 1879 to 1946. It presents the periods of entry, places of origin, trade and profession, as well as the gender, marital status, age and literacy of Bolivian migrants who were involved in sulphur and borax mining. The characterization and analysis of the archives gives an account of the central role played by the Bolivian labor force in the development of non-metallic mining, concluding that the capitalist expansion on the Chilean border was sustained by an ethnic subsidiarity of a subordinate international labor force.</t>
  </si>
  <si>
    <t>66</t>
  </si>
  <si>
    <t>Galaz-Mandakovic, Damir</t>
  </si>
  <si>
    <t>MINING INDUSTRIALIZATION, URBANIZATION AND INNOVATION IN SOCIAL RELATIONS IN THE SOUTHWEST OF THE BOLIVIAN HIGHLANDS: THE CASE OF THE HUANCHACA COMPANY OF BOLIVIA (1834-1930)</t>
  </si>
  <si>
    <t>industrialization; Huanchaca Company; enclave; migration; Altiplano; social relations</t>
  </si>
  <si>
    <t>It is analyzed the case of the Huanchaca Company of Bolivia as a prototype of an implementation process based on a capitalist economy of industrial enclave in southwestern Bolivia. Focusing the analysis on the artisanal transition to industrial and technological effects, mechanical and urban gravitating for the migration processes. Similarly, this process is characterized by bringing asymmetric links with traditional knowledge, establishing new forms of control both by the state and capitalists miners towards indigenous. Therefore new social relationships are established.</t>
  </si>
  <si>
    <t>Galaz-Mandakovic, Damir; Garces, Alejandro</t>
  </si>
  <si>
    <t>Day laborers bolivian in the Canton Central (1879-1946). The case of nitrate office Maria</t>
  </si>
  <si>
    <t>bolivian migration; saltpeter mining; Central Canton; Antofagasta; day laborers</t>
  </si>
  <si>
    <t>From the analysis of the Bolivian records of the Historical Archive of the Catholic University of the North, we characterize the Bolivian presence during the decline of the nitrate expansion cycle in the Central Canton. Based on data related to the places of origin, labor insertion and sociability at the destination, the article gives an account of the magnitude of the phenomenon and the centrality that this day laborer occupied in the deployment of mining operations. In this way, it can be observed how mining capitalism produces a subaltern workforce in a terri-tory where it resists losing its bolivianity.</t>
  </si>
  <si>
    <t>e3738</t>
  </si>
  <si>
    <t>10.22199/issn.0718-1043-2021-0006</t>
  </si>
  <si>
    <t>Galaz-Mandakovic, Damir; Moraga R, Jorge</t>
  </si>
  <si>
    <t>Migración china en Tocopilla. Heterogeneidad relacional y transformaciones internas (Chile, 1884-1960)</t>
  </si>
  <si>
    <t>Chinese migration; Tocopilla-Chile; huaqiao; Cantonese</t>
  </si>
  <si>
    <t>Abstract: Based on documentary findings traced in the Provincial Archive of the city of Tocopilla and in the archive of the Ministry of National Assets, we provide antecedents and some explanatory proposals regarding the heterogeneity and internal transformations of Chinese migration in this city. Although this group was the object of discrimination and racism, especially related to its presence and activities in marginal and criminal spaces of the city, the documents analyzed show the existence of close networks with different social segments, which led to the elitization of a highly visible piece of the Chinese world. This process of elitization was concentrated in a group of "big men" -especially from the 1930s on- and saw its consolidation in the following decades, as evidenced by the relevant participation of this community in the transmission and sale of real estate towards the end. from the first half of the 20th century.</t>
  </si>
  <si>
    <t>24</t>
  </si>
  <si>
    <t>10.51188/rrts.num24.467</t>
  </si>
  <si>
    <t>Galaz-Mandakovic, Damir; Rivera Amaro, Francisco</t>
  </si>
  <si>
    <t>Bolivianos y bolivianas en Chuquicamata. Caracterización de los flujos migratorios desde el período de la minería artesanal a la era industrial (1881-1942)</t>
  </si>
  <si>
    <t>Chuquicamata; Bolivian migration; The Chile Exploration Company; The Anaconda Copper; copper mining</t>
  </si>
  <si>
    <t>ABSTRACT: The analysis of primary sources, such as bureaucratic documents of migratory control, documentary and newspaper archives, allows a quantification and characterization of the Bolivian migration in Chuquicamata between 1881 and 1942. We present the years of entry of Bolivian men and women, as well as their places of origin, occupation, marital status, age, and literacy. We frame our analysis according to four major stages from a period of artisanal exploitation to industrial exploitation under US capital. We identify a first period during the Pacific war (1881-1884), a second pre-industrial period (1885-1911), a third period of industrialization under Guggenheim family capital (1912-1922) and a fourth period of expansion and exploitation by Anaconda Copper (1923-1942). Although underestimated by the contemporaneous chronicles of each period, we argue that the Bolivian migrant labor force was fundamental for the maintenance and development of copper mining in Chuquicamata, both during its artisanal exploitation stage and the first decade of the industrial era.</t>
  </si>
  <si>
    <t>10.29393/rh28-7bbdg20007</t>
  </si>
  <si>
    <t>Galaz-Mandakovic, Damir; Rivera, Francisco</t>
  </si>
  <si>
    <t>Bolivian migration and ethnic subsidiarity in Chilean sulphur and borax high-altitude mining (1888-1946)</t>
  </si>
  <si>
    <t>HISTORY AND ANTHROPOLOGY</t>
  </si>
  <si>
    <t>Bolivian migration; ethnic subsidiarity; sulphur mining; Ollague; Chile</t>
  </si>
  <si>
    <t>Bolivian migration in borax and sulphur high-altitude mining was fundamental in sustaining industrial capitalism in northern Chile. In this paper, we quantify and characterize Bolivian migration in the border mining camps of the municipality of Ollague, through the analysis of 335 migratory files, dating from 1888 to 1946. We focus on the Bolivian presence in eight villages and camps involved in sulphur and borax mining. We present the entry periods of Bolivian workers, as well as their origin, trade and profession, gender, marital status, age, and literacy. Results give an account of the central role played by the Bolivian migrant labour force for the development of non-metallic and high-altitude mining industries in the region. It is concluded that the capitalist expansion in the Chilean border was sustained by an ethnic subsidiarity of an international subordinate workforce.</t>
  </si>
  <si>
    <t>10.1080/02757206.2020.1862106</t>
  </si>
  <si>
    <t>Galaz-Valderrama C.; Poblete R.; Frías C.</t>
  </si>
  <si>
    <t>The operations of exclusion of immigrated people through public policies in Chile; [Las operaciones de exclusión de personas inmigradas a través de las políticas públicas en Chile]</t>
  </si>
  <si>
    <t>Reforma y Democracia</t>
  </si>
  <si>
    <t>Chile; Immigration; Immigration policy; Inclusion; Public policy; Social policy</t>
  </si>
  <si>
    <t>In the last 30 years, Chile has become an installation horizon for immigrants, which has been increased since the nineties for several Latin American and Central American countries (Peru, Argentina, Bolivia, Haiti, Colombia and Ecuador). Chile would have some 354,582 migrant's people who would correspond to approximately 2% of the total population. Nevertheless, the State has developed isolated responses attention to this population that fall into a restricted view of rights, subjected to immigration law in effect since the military dictatorship. For that, it's necessary to explore the social management of immigration from a thoughtful approach to the notion of "social inclusion/exclusion" considering different normative and social intervener strategies that has been initiated from the public sector to ensure "human rights" of immigrants. For that reason, well present below a reflection about the barriers that are evident in social policies of this country and that is affecting the effective inclusion of the immigrant population, taking into account four main areas: education, housing, employment and health. These results are from an investigation with a mixed approach (quantitative and qualitative) developed in four geographical areas of Chile with highest immigrant population. Through this investigation we could display that different groups of immigrants in Chile are facing a number of barriers for their effective social inclusion not only derived from socio-cultural apprehensions or a rejection of social community-level reception to the foreign, but also from constraints imposed by the State itself at the level of accessibility to possible benefits. These difficulties are derived from the legislative components that regulate the stay of foreigners in the country, but also occur in administrative terms, the management of programmatic offer available to the State and direct attention given to public services. © 2017 Centro Latinoamericano de Administracion para el Desarrollo. All rights reserved.</t>
  </si>
  <si>
    <t>2017-June</t>
  </si>
  <si>
    <t>Galaz, Caterine; Pavez, Iskra; Alvarez, Catalina; Hedrera, Luciana</t>
  </si>
  <si>
    <t>POLIVICTIMIZATION AND AGENCY PRACTICES OF MIGRANT CHILDREN IN CHILE FROM AN INTERSECTIONAL PERSPECTIVE</t>
  </si>
  <si>
    <t>ATHENEA DIGITAL</t>
  </si>
  <si>
    <t>Childhood; Migration; Violence; Intersectionality</t>
  </si>
  <si>
    <t>From a critical perspective of childhood studies and from an intersectional approach, we present the articulation in the forms of violence that migrant children cross in Chile and the agency practices that develop these processes of victimization. Based on a qualitative methodology, different practices are analyzed in relation to violence, a field of research not sufficiently explored in this context. We propose how migrant children live situations of multiple and specific violence, in various social spaces - close and institutional spaces - at the intersection of axes of differentiation such as age, national origin, gender and the socioeconomic position, enabling effects of subalternization. At the same time, we trace diverse child agency practices that break the monolithic configuration of a victim.</t>
  </si>
  <si>
    <t>e2447</t>
  </si>
  <si>
    <t>10.5565/rev/athenea.2447</t>
  </si>
  <si>
    <t>Galaz, Caterine; Stang, Fernanda; Lara, Antonia</t>
  </si>
  <si>
    <t>LGBT+ migrants' paths to Chile: intersectional violence and citizenship</t>
  </si>
  <si>
    <t>Chile; migration; sexual diversity; LGBT+; citizenship; violence</t>
  </si>
  <si>
    <t>This paper analyses the backgrounds of LGBT+ migrants living in Chile, and considers the various types of violence they experience at the intersection of vectors of differentiation: national origin, sexual orientation-gender identity and socioeconomic position, as well as markers of ethnicity and racialisation. The results show that many LGBT+ migrants leave their place of origin not only because of social and economic factors, but also due to the discrimination and violence they experience due to their sexual or gender identity, which is known as sexile. These forms of violence occur throughout their migrant experience in ways that vary but are nevertheless constant. In the context of migrant reception in Chile, the presence of these people poses a double threat to the State's hetero(cis)patriarchal order, on the one hand, and the national order, on the other, straining the conventional idea of citizenship.</t>
  </si>
  <si>
    <t>10.24241/rcai.2023.133.1.65</t>
  </si>
  <si>
    <t>Galaz, Caterine; Stang, Maria Fernanda; Lara, Antonia</t>
  </si>
  <si>
    <t>Migratory Policies and Sexual Diversity in Chile: Straining the Rhetoric of Post-Dictatorial Consensus</t>
  </si>
  <si>
    <t>Chile; democracy; LGBTI plus; migrants; queer; transition</t>
  </si>
  <si>
    <t>| With the end of the civil-military dictatorship, Chile began a socio-political transition marked by a rhetoric of consensus, which resulted in the neutralization of differences, leading LGBTI+ and migrant experiences to situate themselves in a place of non-contradiction. This article aims to observe the tension in understanding citizenship in the post-dictatorship period based on the demands of LGTBI+ and migrants in the country. We present a critical documentary analysis -from a queer feminist approach- of sexuality and migration policies, which show a clear assimilationist slant based on an idea of citizen that does not disrupt transitional peace. Emphasis is placed on the contradictions between the grand narrative of the peace agreement and post-dictatorship cohesion and the invisibilizations that LGBTI+ and migrant collectives went through. Likewise, the generalist uses of diversity as a renewed form of assimilation are highlighted. The originality of this analysis lies in the fact that it provides an intersectional review of how policies are usually thought of under a single vector of difference -class, origin, or sexuality- without bringing to the forefront the articulation of differentiating social structures in which the new transi-tional process is structured. We conclude that, in the processes of differentiation that reified these norms, dissidents and migrants were labeled as a problematic otherness, over which government was exercised, mainly to avoid a deviation from the frameworks accepted as normal for the security of the recent Chilean democracy</t>
  </si>
  <si>
    <t>10.7440/res83.2023.04</t>
  </si>
  <si>
    <t>Galdámez Zelada, Liliana; Castro Cruzatt, Karin; Cepeda Valdés, Sebastián</t>
  </si>
  <si>
    <t>Constitución, igualdad y migración: el mínimo desarrollo del ordenamiento chileno en la protección contra la discriminación de grupos migrantes</t>
  </si>
  <si>
    <t>ESTUDIOS CONSTITUCIONALES</t>
  </si>
  <si>
    <t>Migration; Constitution; Equality; Discrimination; constitutional jurisprudence</t>
  </si>
  <si>
    <t>Abstract The purpose of this essay is to analyze the main criteria with which the Constitutional Court of Chile approaches to migration. We will examine the constitutional framework of migration in Chile, as well as the insufficient development of equality and the right not to be discriminated against in the Constitution, the legislation and the Constitutional Court decisions. In this matter a symmetrical and formal conception of equality prevails and tends to justify discriminatory treatment of migrants and thereby contributes to reinforce their subordinate position, however, there is evidence of a normative and eventually constitutional evolution towards an alternative understanding of equality.</t>
  </si>
  <si>
    <t>Gandini, Luciana; Prieto Rosas, Victoria; Lozano-Ascencio, Fernando</t>
  </si>
  <si>
    <t>New mobilities in Latin America: Venezuelan migration in crisis contexts and the regional responses</t>
  </si>
  <si>
    <t>CUADERNOS GEOGRAFICOS</t>
  </si>
  <si>
    <t>Venezuelan migration; Latin America; migration in crisis; forced migration; migratory contexts</t>
  </si>
  <si>
    <t>The unprecedented political, economic and social collapse of Venezuela became in a massive and unexpected emigration, which was mainly directed to Latin American countries. This article aims to investigate how the processes of incorporation occur within the legal frameworks for migration enforced in Latin American countries. Where some of them rely on normative frameworks of progressive and more consolidated imprint, others experience a transition or stand at a delay stage, but in general, these are countries with little or no experience of receiving immigrants. The evidence analyzed here combines the documentary review of laws, migration policies and ad hoc measures designed to respond to Venezuelan migration, with the results of a qualitative investigation based on more than 200 semi-structured interviews with recent migrants in eleven Latin American countries. The main results point to an array of responses that goes from lack of protection to legal certainty. This gradient goes from the improvisation of specific instruments, such as the responses from Colombia, Chile, Peru or Brazil, to the enforcement of more established regulatory frameworks -Mexico, Uruguay, Argentina- that conceive migration from the human rights perspective.</t>
  </si>
  <si>
    <t>10.30827/cuadgeo.v59i3.9294</t>
  </si>
  <si>
    <t>Garcés A.</t>
  </si>
  <si>
    <t>Against public space: Criminalization and sanitization in the Peruvian migration in Santiago de Chile; [Contra el espacio público: Criminalización e higienización en la migración peruana en Santiago de Chile]</t>
  </si>
  <si>
    <t>Informal economy; Public space; Social conflict</t>
  </si>
  <si>
    <t>On the basis of an ethnographic exploration of the uses and appropriation of urban space in the city of Santiago de Chile, complemented by secondary resources such as demographic statistics and maps, this article describes and explains the devices of criminalization and sanitization of the urban spaces occupied by Peruvian migrants in the context of their insertion and reproduction as a social collective in the city. This process will be exemplified by the Peruvian practice of street vending. The comparison between two specific urban scenarios guides the analysis through the contemporary process of the patrimonialization of urban spaces, and reification of the spatial enclosure of the Peru-vian collective. Both of these aspects represent vectors that include both migrants and native residents, who together establish the conditions for the production of space, particularly in its capacity as a container of a specific culture and specific social relations. © EURE.</t>
  </si>
  <si>
    <t>Garces-Estrada, Carolina; Leiva-Gomez, Sandra; Comelin-Fornes, Andrea</t>
  </si>
  <si>
    <t>Intersectionalities and care work: Bolivian circular migration in northern Chile</t>
  </si>
  <si>
    <t>intersectionality; women; decolonial feminism; care work; circular migration</t>
  </si>
  <si>
    <t>This article analyzes the multiple oppressions in care work and in the circular migration of Bolivian women in northern Chile. Through a qualitative methodology that considers in-depth interviews, the analysis uses the theoretical perspectives of decolonial feminism and intersectionalities. Decolonial feminism operates as a critical framework of the global structures and power relations that produce and reproduce the unequal relations that affect migrant women. In turn, the intersectional approach deepens the study of circular migration in cross-border areas, where both social inequalities and simultaneous oppressions are legitimized and consolidated. The findings indicate that social class, gender, race, and immigration status make up a racialization and sexualization of care workers.</t>
  </si>
  <si>
    <t>10.21678/apuntes.90.1409</t>
  </si>
  <si>
    <t>Garces, Alejandro H.; Moraga, Jorge R.</t>
  </si>
  <si>
    <t>GROUND TRANSPORTATION AND NEW INTERCONNECTIONS BETWEEN AYMARA SOCIETY AND THE ECONOMYTRANSPORTE</t>
  </si>
  <si>
    <t>Colchane; Pisiga; aymara; transportation; economy</t>
  </si>
  <si>
    <t>This article explores the development of a transport market which moves passengers and goods over the road system currently connecting Bolivia and Chile. An elite of aymara transport entrepreneurs has emerged in both Colchane and Pisiga to provide these services. This elite has currently been put under pressure by the appearance of new national and international actors. In a context of rural depopulation, migration between cities in both Chile and Bolivia and deterioration of the farming economy, we will see how participation in this transportation market has implied an important source of economic accrual in which indigenous actors have found a place. This process has reconfigured pre-existing political structures and generated new forms of social mobility and economic and political leadership.</t>
  </si>
  <si>
    <t>10.4067/S0717-73562016005000010</t>
  </si>
  <si>
    <t>Garcia Amado, Patricia</t>
  </si>
  <si>
    <t>Connecting Tenure Security with Durable Solutions to Internal Displacement: From Restitution of Property Rights to the Right to Adequate Housing</t>
  </si>
  <si>
    <t>The end of displacement is a main goal of international peacebuilding strategies, with increasing financial and human resources committed to it. Nevertheless, protracted internal displacement remains unabated, necessitating a review of the responses provided thus far. Durable solutions to internal displacement require a safe, permanent and secure place to settle, which puts security of tenure at the centre of any sustainable option. This article emphasizes the limited understanding of the factors that contribute to secure tenure as one of the main flaws in a predominantly legal approach to the right to restitution and the right to adequate housing in responses to internal displacement. It calls for the design of contextualized and inclusive strategies to align the de jure, de facto and perception dimensions of tenure security to support the sustainable settlement of internally displaced persons as well as the construction of peace.</t>
  </si>
  <si>
    <t>10.1111/imig.12244</t>
  </si>
  <si>
    <t>García M.</t>
  </si>
  <si>
    <t>Parting and Keep on Existing: Crisis and Reproduction of the Existence of Migrants and Their Collectives in the City of Rosario</t>
  </si>
  <si>
    <t>Biographies; Collectives; Crisis; Migration; Subjectivity</t>
  </si>
  <si>
    <t>Crisis and migration are associated because both make part of the course of history, their bond is not an exception. Migration responds to a human drive as strong as the need to gather in groups. Crises, like catastrophes, are perennial in the historical narratives, philosophy, theater, art, and mythologies of every culture. Crises are also part of a permanent historical process of social construction, which at critical junctures are socially perceived and historiographically analyzed. Migration is conceived as the daily reproduction of a temporary or permanent existence in another space beyond political borders. The objective of this text is to analyze the strategies involved in the reproduction of migrants’ existence and their collectives in Rosario, as part of people’s mobility projects and as a particular response to critical situations; this assessment is undertaken to interrogate the concepts of crisis and migration. Personal stories and testimonies form migrant collectives from Haiti, Venezuela, and Colombia make up the bulk of the data, in which actions and constructs were explored by intersecting both the personal and social spheres; theoretical approaches included migrants’ political subjectivities, the political realm of migration, and the perspective of life course. The methodological toolbox consisted of interviews, participatory research, and quantitative and documentary surveys. © 2022, The Author(s), under exclusive license to Springer Nature Switzerland AG.</t>
  </si>
  <si>
    <t>Part F1339</t>
  </si>
  <si>
    <t>10.1007/978-3-031-07059-4_6</t>
  </si>
  <si>
    <t>García-Rico L.; Carter-Thuillier B.; Santos-Pastor M.L.; Martínez-Muñoz L.F.</t>
  </si>
  <si>
    <t>Training physical education teachers for social justice: Effects of service-learning on Chilean and Spanish students; [Formar profesores de educación física para la justicia social: Efectos del aprendizaje-servicio en estudiantes Chilenos y Españoles]</t>
  </si>
  <si>
    <t>Revista Internacional de Educacion para la Justicia Social</t>
  </si>
  <si>
    <t>Chile; Physical education; Social justice; Spain; University</t>
  </si>
  <si>
    <t>This article compares the effects of two Service-Learning models in Physical Education for teacher training from a Social Justice perspective. With a quantitative approach, comparative non-experimental design, the sample is made up of 90 university students from two universities: Chilean and Spanish, who have participated in Service-Learning experiences in the field of Physical Education. Statistical analysis and processing was performed using the SPSS v.25 program, set the significance level for all analyzes at P&lt;0.05. The results of the study show significant differences on the effects produced by each Service-Learning model in initial training from a Social Justice perspective, used in each university. Equally, the results are in line with other studies that show how participation in Service-Learning experiences favors the development of critical reflexivity on Social Justification in future Physical Education teachers; in addition to granting them tools for the resolution of problematic events, based on real community situations. © 2020 Universidad Autonoma de Madrid. All rights reserved.</t>
  </si>
  <si>
    <t>10.15366/RIEJS2020.9.2.002</t>
  </si>
  <si>
    <t>Garcia, Felipe E.; Villagran, Loreto; Ahumada, Maria Constanza; Inzunza, Nadia; Schuffeneger, Katherine; Garabito, Sandra</t>
  </si>
  <si>
    <t>Sense of Ethnic Belonging: Relation With Well-Being and Psychological Distress in Inhabitants of the Mapuche Conflict Area, Chile</t>
  </si>
  <si>
    <t>identity; ethnic belonging; discrimination; well-being; mental health; Mapuche</t>
  </si>
  <si>
    <t>Research has shown that experiences of discrimination cause harm to the health and well-being of people. In terms of the identity of members of a group, a positive evaluation of that group might involve devaluing the out-group as a way of raising the endo-group, causing discrimination toward the out-group. In the Chilean context, the Mapuche people have historically suffered discrimination and violations of their rights. The aim of this study was to assess the relationship between Collective Identity, perceived experiences of discrimination, psychological well-being and distress in the inhabitants of the Mapuche conflict zone according to their sense of belonging to their ethnic group (Mapuche, Mestizo, Caucasian). This descriptive, correlative, and cross-sectional study involved 200 participants, including 94 men (47%), and 106 women (53%), between the ages of 18 and 83 years old (M = 39.02; SD = 13.45), who had lived for at least 1 year in communities in the Araucania Region. The sample was stratified according their sense of ethnic identity, including 30% Mapuche, 33.5% Caucasian, and 36.5% Mestizo. The results show that participants with a sense of Mapuche ethnicity experienced more instances of discrimination, had a greater sense of collective identity, and that they also supported the Mapuche social movement and its methods. Based on evidence that well-being is directly related to collective identity, the study undertook a regression analysis of emotional distress and the psychological well-being of participants. The interaction between experiences of discrimination and collective identity has a significant influence. Collective identity and experiences of discrimination in themselves as well as the interaction between them, predict psychological well-being. The results suggest that the importance of the Mapuche group's identity phenomena are related to a broad socio-historical context that leads them to identify themselves as a collective in conditions of inequality. This relationship between well-being and collective identity could be explained by their sense of cultural belonging, which can be a factor in protecting mental health.</t>
  </si>
  <si>
    <t>10.3389/fpsyg.2020.617465</t>
  </si>
  <si>
    <t>García, Leidy Y.; Friz Carrillo, Miguel</t>
  </si>
  <si>
    <t>El efecto migratorio en la asistencia escolar en Chile</t>
  </si>
  <si>
    <t>enrollment; inclusion; school attendance; immigrants</t>
  </si>
  <si>
    <t>ABSTRACT: Migration implies an important challenge in the educational integration of foreign children and youth in the education system. Therefore, the objective of this article is to study the socioeconomic factors of the home that determine school attendance in Chile, as an essential factor for the integration of immigrants. For this, the quantitative method of estimating the probability of school attendance is applied. The results indicate that the variables that determine school attendance are age, nationality, type of home, area, educational level of the head of household and their working condition, poverty condition, among others. Evidence that the probability of attendance of a foreign child to attend is almost 11% less than that of a native child. Thus, the State should promote and guarantee universal coverage of the education of migrant children and young people, as an fundamental step for integration.</t>
  </si>
  <si>
    <t>Garcia, Maria del Carmen Ledo</t>
  </si>
  <si>
    <t>THE EFFECT OF MIGRATION ON URBAN CONCENTRATIONS IN SANTA CRUZ, COCHABAMBA, LA PAZ AND EL ALTO, BOLIVIA</t>
  </si>
  <si>
    <t>HABITAT Y SOCIEDAD</t>
  </si>
  <si>
    <t>Migration; demographic concentration; cities; urbanization; canonical correlation</t>
  </si>
  <si>
    <t>There is an effect of migration on urban concentrations and a segregated growth model of the 4 large Bolivian cities (Santa Cruz, Cochabamba, La Paz and El Alto). Around 2012, the face of a migrant woman from the Bolivian highlands directed towards the peri-urban spaces of the largest cities reveals the search for a response to a range of dissatisfactions. On the other hand, international immigrants from Brazil, the United States and Argentina are predominantly men who go more strongly to the residential spaces of large cities. In the case of international immigrant women, they come from Spain and Italy regardless of the space of residence, residential or peripheral. In the field of international emigration, men go more strongly to Argentina and Brazil, both of which border Bolivia. Instead, there is a feminization of the migration towards Spain, Italy and Chile. The databases of the national population and housing censuses from 1900 to 2012 are used and, in order to demonstrate the spatially segregated migratory directionality, the surveys on transnational migrations carried out in the cities of Cochabamba, La Paz y El Alto are used. These databases were obtained thanks to the financing of the Belgian cooperation of CIUF in Cochabamba, and Fundacion Esperanza and CAN, for the cases in the cities of La Paz and El Alto. The results of the application of the multivariate model ratify the existence of socio-spatial segregation and socioeconomic inequalities, the exclusion and vulnerability of the poorest households residing in the periphery of the cities studied is eloquent.</t>
  </si>
  <si>
    <t>10.12795/HabitatySociedad.2022.i15.02</t>
  </si>
  <si>
    <t>Garreton M.</t>
  </si>
  <si>
    <t>City profile: Actually existing neoliberalism in Greater Santiago</t>
  </si>
  <si>
    <t>Cities</t>
  </si>
  <si>
    <t>Chile; Housing; Planning; Privatization; Transportation; Urban inequalities</t>
  </si>
  <si>
    <t>Greater Santiago, the capital of Chile, concentrates most of economic and political power of this nation and 35% of its population. It is a conurbation of 6 million inhabitants, comprising 37 municipalities without a metropolitan level authority, where large scale planning is executed by centralized authorities. The historic development of this metropolis was sharply modified by neoliberal policies that were implemented during Pinochet's dictatorship and by the constitutional definition of a reduced Subsidiary State. These structural reforms had a strong impact on urban development, due to the weakening and incoordination of sectoral planning agencies and the progressive accumulation of socio-spatial inequalities. After the recovery of democracy, a stronger emphasis on social policies was promoted, but public action became increasingly dependent on private providers of public goods. Nevertheless, the early adoption of modern regulations and a sustained period of economic growth have allowed for important advances in quality of life and to considerably reduce poverty levels. This article aims to provide a systemic and critical study of Greater Santiago's institutions, living conditions and the urban outcomes of market-driven planning, considering historical processes and the present contradictions in a partially modern but segregated metropolis. In conclusion, the uniqueness of Greater Santiago's neoliberal development is discussed, highlighting the concentration of power, the influence of capitals over policy design and the strong socio-spatial inequalities that reflect direct wealth circulation from natural resources extraction to financial and real estate rents, in the absence of a strong industrial sector. However, emerging policies and the expected first elected regional governments suggest ways to advance towards more inclusive, participative and intersectoral forms of public action, under the pressure of civil demands for a fairer distribution of wealth, public goods and decision power. © 2017 Elsevier Ltd</t>
  </si>
  <si>
    <t>10.1016/j.cities.2017.02.005</t>
  </si>
  <si>
    <t>Garreton M.; Espinoza V.; Cantillan R.</t>
  </si>
  <si>
    <t>Social capital in the urban context: Diversity and social contacts in Chilean cities</t>
  </si>
  <si>
    <t>Journal of Urban Affairs</t>
  </si>
  <si>
    <t>This study examines the relationship between social capital and neighborhood diversity in Chilean cities. We propose that differences exist between hierarchical forms of diversity, which might erode social trust, and cultural differences that might foster new social links in heterogeneous communities. In Chile, strong material inequalities represent the main form of hierarchical differentiation, while south-to-south immigrants convey qualitative differences based on race, ethnic origin, or cultural practices. In contrast to most Western industrialized countries, where material and ethnic differences tend to converge, they appear to be uncoupled in Chile, explaining the presence of immigrants at different levels of the social hierarchy. We analyze original data from a Latin American country with high domestic inequality. Multilevel models nested at the city level reveal that social capital is negatively correlated with socioeconomic diversity, but positively correlated with immigrant diversity, suggesting that uncoupling these differences has a positive effect on social capital development. © 2021 Urban Affairs Association.</t>
  </si>
  <si>
    <t>10.1080/07352166.2021.1974302</t>
  </si>
  <si>
    <t>Gatica, Yasna Contreras; Calderon, Beatriz Seguel; Ladino, Marcela Tapia</t>
  </si>
  <si>
    <t>Migrant gentrification as resistance and decolonization</t>
  </si>
  <si>
    <t>gentrification; migration; decolonization; displacement</t>
  </si>
  <si>
    <t>When we refer to decolonizing gentrification, we attempt to distance ourselves from the global north as we identify Bolivian cross-border merchants as key and silent actors in the transformation of downtown Iquique. Based on this case study, where in-depth interviews were applied and land market studies were carried out, we postulate Migrant Gentrification as a process of unequal appropriation of capital and income by migrant communities, ruling out their exclusive role as potentially displaced. Thus, Migrant Gentrification escapes from the white condition assigned to subjects who initiate reinvestment and speculation processes; however, it is noted that their actions would indirectly limit access to land and housing for other racialized and newcomer migrants.</t>
  </si>
  <si>
    <t>10.15446/bitacora.v33n2.105519</t>
  </si>
  <si>
    <t>Gautier Morin J.; Rossier T.</t>
  </si>
  <si>
    <t>The interaction of elite networks in the Pinochet regime's macroeconomic policies</t>
  </si>
  <si>
    <t>Global Networks</t>
  </si>
  <si>
    <t>ELITE NETWORKS; EXPERTISE; GOVERNANCE; KNOWLEDGE NETWORKS; NEOLIBERALISM; NETWORK ANALYSIS</t>
  </si>
  <si>
    <t>The Chilean military regime offered a prime example of interactions among elite groups in the making of macroeconomic policies. Through the lens of both Bourdieu's field theory and Mills's elite coordination through networks, we show how Chilean elites sought to implement these policies despite being divided by their transnational and national ties. We have constructed an original database on the 62 most influential individuals within the space of macroeconomic policies using a variety of descriptive methods (multiple correspondence analysis, cluster analysis, and social network analysis), only used on very few occasions to study South American elites. We explore the internal divisions in these elites in terms of their orientation to national and transnational capital and biographical trajectories. We identify three groups – high-ranking military officers, Chicago academic economists, and public and private sector professionals. Military officers were mostly endowed with national assets, while civilian groups relied on transnational resources. Moreover, the Chicago economists, characterized by their transnational and scientific legitimacy, were the closest to influential state positions overall (the Ministry of the Treasury and the Central Bank). Finally, we categorize the same three groups through (national and transnational) network ties. Organizational ties between those groups were significant, particularly among Chicago economists and professionals, which suggests an intense coordination process, facilitated by transnational affiliations and profile. © 2020 Global Networks Partnership &amp; John Wiley &amp; Sons Ltd</t>
  </si>
  <si>
    <t>10.1111/glob.12300</t>
  </si>
  <si>
    <t>Gavilan Vega, Vivian</t>
  </si>
  <si>
    <t>Mobility and migratory processes of the Chipaya community towards northern Chile</t>
  </si>
  <si>
    <t>cross-border migration; indigenous peoples</t>
  </si>
  <si>
    <t>This study presents the results of research conducted on the movements and migratory processes of the Chipaya people towards the Chilean north. The main focus of the research is the situation and condition of migrants in northern Chile who come from the town of Santa Ana (Bolivia). Women and men who had lived in different locations for at least four years were interviewed using a qualitative approach. The data show that historical seasonal displacements have tended to be replaced by permanence in towns and cities. Although the subjects of the study maintain their connections to their community of origin, they have distanced themselves from the rural life and undergone a process of depeasantization and the translocalization of the community's social networks in urban spaces. The study reveals the socio-economic, socio-ethnic and cultural dynamics of one of the indigenous peoples of the Andean south that has received little attention from scholars in the 21st century.</t>
  </si>
  <si>
    <t>10.4067/S0719-09482019000200007</t>
  </si>
  <si>
    <t>Gavilan, Vivian</t>
  </si>
  <si>
    <t>Marriage practices and gender relations in two Aymaras communities in the northern highlands of Chile</t>
  </si>
  <si>
    <t>gender; aymara; marriage; ethnicities</t>
  </si>
  <si>
    <t>The results of the research on matrimonial practices in the Aymara community of northern Chile are presented. The purpose of this was to know the evolution of gender relations in the context of the processes of change that two communities have experienced. These communities are located in the highlands of the border with Bolivia. Based on the analysis of data collected in two periods of field work (1982-1985 and 2014-2016), it is considered three dimensions: the prescription of marriage, the ceremony that legitimizes the conjugal unit, and the chacha-warmi institution, as a system of rules that regulates husband-wife relationships. The results indicate that, despite greater flexibility in the composition of the couple, the man's parents have greater authority; and while rituals have been simplified, they continue legitimizing the subordinate position of women; and finally, results indicates that the migration of families to other cities modify but does not eliminate the principles that guide the practices of the conjugal couple based on the dominance of men and what is masculine.</t>
  </si>
  <si>
    <t>10.22199/issn.0718-1043-2020-0037</t>
  </si>
  <si>
    <t>Gelber D.; Reyes N.Á.; Aguirre M.J.E.; Escribano R.; Miralles J.F.; González C.C.</t>
  </si>
  <si>
    <t>Myths and facts about the inclusion of immigrant students in chilean classrooms: The case of writing; [Mitos e realidades sobre a inclusão de migrantes em escolas chilenas: A aprendizagem da escrita]; [Mitos y realidades sobre la inclusión de migrantes en aulas chilenas: El caso de la escritura]</t>
  </si>
  <si>
    <t>Chile; Educational policies; Immigrants; Inclusion; Writing</t>
  </si>
  <si>
    <t>The high immigration wave that Chile experienced in the last decade, has defied its largely segregated educational system. Even though Chile has subscribed the 4th Sustainable Development Goal to ensure an equitable, inclusive and quality education, the current educational structure as well as the lack of an inter-cultural educational policy, are obstacles to ensure the right to education for all. This article aims to provide evidence on the conditions under which immigrant students learn in Chile, by analyzing their performance in writing-a potential mediator (or obstacle) for schooling-, their learning barriers (beliefs, attitudes and teacher expectations), and socio-emotional wellbeing. Our results demonstrate that immigrant students are divided in two achievement groups, which face different barriers according to their country of origin. On the one hand, students from Haiti, Bolivia and Dominican Republic are more vulnerable. On the other hand, students from Peru, Venezuela and Colombia outperform their peers in writing, have higher levels of self-esteem and self-efficiency, and teachers have greater educational expectations for them. This evidence suggests the need to inquire the intersections between language and race related to discrimination and prejudice. © 2021, Arizona State University. All rights reserved.</t>
  </si>
  <si>
    <t>10.14507/EPAA.29.5801</t>
  </si>
  <si>
    <t>Gideon, Jasmine</t>
  </si>
  <si>
    <t>Gendering activism, exile and wellbeing: Chilean exiles in the UK</t>
  </si>
  <si>
    <t>GENDER PLACE AND CULTURE</t>
  </si>
  <si>
    <t>Chile; exile; forced migration; gender; health; UK</t>
  </si>
  <si>
    <t>Drawing on the case of Chilean exiles in the UK this article looks at the experiences of exiles through a gender lens. The analysis argues for the need to recognise the gendered nature of spaces of political activism in order to highlight the contribution made by many Chilean women to life in exile. Using a gender lens sheds light on the multiple ways in which many women were indirectly the victims of abuse under the military regime and how this impacts on their mental health and wellbeing. The analysis also provides new insights into how forced migration impacts on gender roles and norms among those living in exile. The article primarily focuses on the experiences of women who arrived in the UK as the wife of' political activists, a group whose needs have been frequently overlooked.</t>
  </si>
  <si>
    <t>10.1080/0966369X.2018.1428534</t>
  </si>
  <si>
    <t>Crafting arts-based stories of exile, resistance and trauma among Chileans in the UK</t>
  </si>
  <si>
    <t>Chile; crafts; exile; healing; resistance</t>
  </si>
  <si>
    <t>In 2017 an exhibition of over 100 craft pieces created by Chilean political prisoners held in concentration camps during the military dictatorship, was launched in the UK along with an accompanying short film, 'Crafting Resistance: the Art of Chilean Political Prisoners'. Drawing on these arts-based interventions, the paper reflects on the use of craft objects both as a symbol of political resistance and a means of initiating difficult conversations around forced political exile, trauma and mental health while creating space for people to 'tell their stories'. Indeed, the paper contends that projects such as Crafting Resistance can 'care for knowledge' through the curation of craftwork while simultaneously creating space for counter memories. The analysis also highlights the changing relationship between the craft makers and the craftwork, argueing that placing the craft objects within the exhibition assigns a new role to the objects as they became part of a display of collective memories and potentially contribute towards collective healing. Finally, the paper advocates for greater recognition of the historical use of craft as a political expression, which to date has been relatively neglected in debates around the use of arts-based research and methods.</t>
  </si>
  <si>
    <t>10.1080/1369183X.2024.2345994</t>
  </si>
  <si>
    <t>Journeys to Health: The Case of Chilean Exiles in the UK</t>
  </si>
  <si>
    <t>JOURNAL OF REFUGEE STUDIES</t>
  </si>
  <si>
    <t>refugee; health; exile; Chile; gender; UK</t>
  </si>
  <si>
    <t>Taking the idea of refugee 'journeys to health' () as a point of departure this paper examines the case of Chilean exiles in the UK. Reflecting on interviews conducted with Chilean exiles the analysis highlights how the health-related challenges that many people have experienced change over time. For some the passing of time has enabled people to make sense of what happened to them following the military coup in Chile in 1979 and this has helped them to 'move on'. For others, on-going challenges remain, for example a number of people still experienced PTSD. The paper also reflects on the difficulties encountered by refugees when dealing with formal health providers. While all of the respondents had full entitlements to NHS services the paper reflects on the informal barriers that continue to shape refugees' engagement with health care providers and limit their ability to address health concerns.</t>
  </si>
  <si>
    <t>10.1093/jrs/feaa098</t>
  </si>
  <si>
    <t>Gil-Gonzalez D.; Carrasco-Portinõ M.; Vives-Cases C.; Agudelo-Suarez A.A.; Castejon Bolea R.; Ronda-Perez E.</t>
  </si>
  <si>
    <t>Is health a right for all? An umbrella review of the barriers to health care access faced by migrants</t>
  </si>
  <si>
    <t>Ethnicity and Health</t>
  </si>
  <si>
    <t>access; barriers; health services; Migrants; review</t>
  </si>
  <si>
    <t>To synthesise the scientific evidence concerning barriers to health care access faced by migrants. We sought to critically analyse this evidence with a view to guiding policies.Design. A systematic review methodology was used to identify systematic and scoping reviews which quantitatively or qualitatively analysed data from primary studies. The main variables analysed were structural and contextual barriers (health system organisation) as well as individual (patients and providers). The quality of evidence from the systematic reviews was critically appraised. From 2674 reviews, 79 were retained for further scrutiny, and finally 9 met the inclusion criteria.Results. The structural barriers identified were the lack of health insurance and the high cost of drugs (non-universal health system) and organisational aspects of health system (social insurance system and national health system). The individual barriers were linguistic and cultural. None of the reviews provided a quality appraisal of the studies.Conclusions. Barriers to health care for migrants range from entitlement in non-universal health systems to accessibility in universal ones, and determinants of access to the respective health services should be analysed within the corresponding national context. Generate social and institutional changes that eliminate barriers to access to health services is essential to ensure health for all. © 2014 © 2014 Taylor &amp; Francis.</t>
  </si>
  <si>
    <t>10.1080/13557858.2014.946473</t>
  </si>
  <si>
    <t>Gissi Barbieri, Nicolás; Martínez Ruiz, Susana</t>
  </si>
  <si>
    <t>Trayectorias de género en la migración sur-sur de mujeres mexicanas calificadas en Santiago de Chile</t>
  </si>
  <si>
    <t>South-South migration; transnationalism; Mexican women</t>
  </si>
  <si>
    <t>Abstract: This article uses a gender, transnational and qualitative approach to explore processes of continuity and transformation in the roles and gender status of qualified Mexican women currently residing in Santiago de Chile. Six life histories were developed, highlighting the various motivations for migration (work, education and love) and the profiles of change or continuity of gender roles that generate tension in the spheres of production and reproduction in the context of female migration. Finally, the author explores the value placed on the migratory experience and how it reveals the transformation towards more autonomous, emancipated and independent positions, identifying migration as a mechanism that contributes to the destabilization of the traditional gender structure.</t>
  </si>
  <si>
    <t>Gissi-Barbieri, Nicolás; Polo Alvis, Sebastián</t>
  </si>
  <si>
    <t>¿Incorporación social de migrantes colombianos en Chile?: vulnerabilidad y lucha por el reconocimiento</t>
  </si>
  <si>
    <t>Antipoda. Revista de Antropología y Arqueología</t>
  </si>
  <si>
    <t>Chile-Colombia mobility; Latin America; migrations social incorporation; social recognition; vulnerability.</t>
  </si>
  <si>
    <t>Abstract: Objective/context: Identifies the socio-cultural factors and life experiences that are involved in the social incorporation of Colombian migrants currently residing in Chile, also analyzing their migration and insertion in the city of Santiago. Methodology: Through the fieldwork carried out between 2015 and 2018 in the city of Santiago de Chile, and based on a qualitative methodology, we reveal Colombians' struggle for recognition, which we investigate here based on its three forms or spheres: close affects and self-confidence; relations of equality, of rights; and economic participation, of solidarity. These are the transversal axes of our frame of reference through which to understand the recognition and social incorporation of Colombian migrants in Chilean society. Conclusions: The results show that Afro-Colombians - the majority from Cali and southern Colombia - are subject to recurrent expressions of racism, in addition to general stereotypes regarding Colombian society. There is also a marked diversity and fragmentation among Colombian migrants based on regional particularities, socio-economic status, occupation, and gender. Originality: Few texts have analyzed the conditions and trajectories of Colombians in Santiago de Chile.</t>
  </si>
  <si>
    <t>38</t>
  </si>
  <si>
    <t>10.7440/antipoda38.2020.07</t>
  </si>
  <si>
    <t>Gissi, Nicolás; Aguilar, Hedilberto</t>
  </si>
  <si>
    <t>Entre el miedo y la xenofobia: política migratoria, vulnerabilidad social y emergencia de un Estado penal en Chile (2018-2023)</t>
  </si>
  <si>
    <t>migrants; xenophobia; immigration policy; vulnerability; penal State</t>
  </si>
  <si>
    <t>Abstract Through the analysis of the fears of Chilean society associated with public safety and crime, the purpose of this article is to contribute to the generation of knowledge and the public discussion regarding the recent conduct of the Chilean State around an emerging penal State that seems to be aimed at punishing immigration from Latin America and the Caribbean, particularly Venezuelan, Haitian and Colombian, due to the political, social and media pressure that criminalizes migrants in an irregular condition. For this, we observe the performance of the State -led by a center-left government during the last year and a half-, along with the most representative social events in the mass media, regarding migration and crime, as well as around the Chilean population at social risk, in the context of the increase in xenophobia and a new immigration law and policy, which appear rather close to a securitist model.</t>
  </si>
  <si>
    <t>10.22201/cimsur.18704115e.2023.v18.680</t>
  </si>
  <si>
    <t>Gissi, Nicolas; Andrade, Eduardo</t>
  </si>
  <si>
    <t>Recent Venezuelan migration to Chile: socio-economic insertion, commerce and intra- and inter-ethnic networks in Santiago (2018-2021)</t>
  </si>
  <si>
    <t>Venezuelan migration; inter-ethnic networks; socio-economic insertion</t>
  </si>
  <si>
    <t>The aim of this article is to analyse the socio-economic insertion of Venezuelans in Santiago, based on the modes of incorporation and the limits present in intra-and inter-ethnic networks in terms of access to and control of resources, i.e., information on employment and housing, commerce and money management. The relationships between three stakeholders are analysed: Venezuelan, Chilean and Chinese nationals and, to a lesser extent, links with Peruvians. In terms of methodology, the paper is based on ethnographic fieldwork carried out between 2018 and 2021 in the centre of Santiago. The information obtained from the interviews was analysed using Ucinet and Netdraw, observing structural elements in the conformation of the networks, while Geno Pro and Atlas.ti 7.5.4 software were used to identify more qualitative transversalities. The conclusions drawn are that there are negative repercussions in terms of housing and employment, rooted in the restrictive migration policy that has been implemented since 2018 and which were worsened by the pandemic of 2020-2021. This has tended to push such migrants towards impoverishment, labour segmentation and the emergence of ethnic enclaves.</t>
  </si>
  <si>
    <t>Gissi, Nicolás; Aruj, Roberto; Polo, Sebastián</t>
  </si>
  <si>
    <t>Políticas migratorias y cooperación regional en el Cono Sur: gestión institucional de la migración venezolana en Argentina, Chile y Bolivia</t>
  </si>
  <si>
    <t>Venezuelan migration; South America; Humanitarian crisis; Migration policies; Argentina; Bolivia; Chile</t>
  </si>
  <si>
    <t>Abstract The objective of the article is to analyze the exodus of people from Venezuela, the most relevant migratory and humanitarian crises in Latin America in the last five years. An analysis of the evolution of migration policies in Chile, Argentina and Bolivia is carried out, based on a legislative review, policy analysis and a study on the institutional measures adopted by each country. Although there is an emerging international political coordination, the various particularities in force in each are also marked. The existence of State policies focused on migration issues such as in Chile and Argentina, as well as the circumstantial reaction of cases such as Bolivia, have been a fundamental key in the exercise of efforts and international cooperation. Venezuelan migration has become a priority in South America, implementing particular policies that are not enough, requiring greater regional coordination and collaboration, which has become more complex since 2020 given the health crisis caused by the Covid epidemic-19, which generated the closure of national borders.</t>
  </si>
  <si>
    <t>10.1590/s0102-6992-202136030008</t>
  </si>
  <si>
    <t>Gissi, Nicolas; Pinto Baleisan, Carolina; Rodriguez, Francisca</t>
  </si>
  <si>
    <t>Recent immigration of colombian in Chile. Plural societies, social imaginaries and stereotypes</t>
  </si>
  <si>
    <t>plural societies; colombian migration; social imaginaries; otherness; stereotypes</t>
  </si>
  <si>
    <t>The purpose of this article is to explore how Colombian migrants live their first years in Santiago de Chile and contribute to the process of building plural societies. The research shows how the concepts of social imaginary and otherness are useful to study recent migratory processes. Colombian immigration - in the context of South-South migration - is particularly complex given its association with phenomena such as drug trafficking and violence, as well as due to the racial and socioeconomic heterogeneity of its participants. On the basis of semi-structured interviews, this work shows that Colombians tend to incorporate themselves quickly and satisfactorily into work and social spaces in Santiago, but their experiences and expectations about living as a Chilean differ according to the socioeconomic level, the relationships they establish with others and their experiences of stereotypes, discrimination and racism in Chile.</t>
  </si>
  <si>
    <t>10.22199/issn.0718-1043-2019-0011</t>
  </si>
  <si>
    <t>Gomez Segovia A.</t>
  </si>
  <si>
    <t>Spatial research study of Peruvian immigrants in Santiago de Chile; [Prostorska raziskava perujskih priseljencev v santiagu]</t>
  </si>
  <si>
    <t>Acta Geographica Slovenica</t>
  </si>
  <si>
    <t>Demographic structure; Geography; Immigrations; International immigration; Peruvian immigrants; Santiago de Chile</t>
  </si>
  <si>
    <t>The article offers results of the social-spatial research study of Peruvian immigrants in the Chilean capital of Santiago de Chile. The permanent Peruvian immigration to Santiago started at the beginning of the 1990s, and has been quickly rising since 1995. Peruvians are, next to Argentineans, the second largest group of immigrants in Chile, while in the urban area of Santiago they are even the largest immigrant group. The concentration of Peruvian immigrants in the old city centre is clearly visible, what raised the attention of the Chilean society, media and scientists. With the help of demographic data from 2002 we want to show the structure of Peruvian immigrants and visualize their spatial distribution by maps.</t>
  </si>
  <si>
    <t>10.3986/AGS51109</t>
  </si>
  <si>
    <t>Gonçalves I.; David Y.</t>
  </si>
  <si>
    <t>Threats, victims, or heroes? Media frames about migration in the United Kingdom and Brazil</t>
  </si>
  <si>
    <t>International Communication Gazette</t>
  </si>
  <si>
    <t>Brazil; content analysis; framing; media; Migration; news; populism; United Kingdom</t>
  </si>
  <si>
    <t>Conservative media often frames migrants negatively, echoing discourses of othering driven by populist leaders. Previous studies have examined the intersections between media framing, migration, and populism, but comparative studies on migration framing including Brazil remain scarce. This study uses quantitative content analysis to explore media frames of news items published in the United Kingdom and Brazil. It aims to contribute new insights regarding migration media framing by comparing conservative news coverage of two countries that experienced a rise in populism wave in the last years. We found that new items in both countries tended to frame migration in similar ways, suggesting a pattern in two different contexts. Findings show the prevalence of negative framing over positive framing, with significant differences for victim frames, and non-significant differences for hero and threat frames. This study contributes by providing new insights into the intersections between media framing, migration, and populism. © The Author(s) 2024.</t>
  </si>
  <si>
    <t>10.1177/17480485241249007</t>
  </si>
  <si>
    <t>Goni, Fernanda; Moraga, Catalina; Sanhueza, Macarena; Catalan, Ximena; Soledad Cruz, Maria; Gallardo, Gonzalo; Veliz, Daniela</t>
  </si>
  <si>
    <t>Internal migrant students in Chile transitioning to the university: Experiences in a triple rupture scenario</t>
  </si>
  <si>
    <t>educational transition; access to higher education; migration; student mobility; student experience</t>
  </si>
  <si>
    <t>Students who migrate to pursue higher education face many challenges in their adjustment to university. It is necessary to know the specific barriers that internal migrant students face in order to design policies and strategies for institutional support of these students. This article investigates the process of transition to university life for internal migrant students in Chile through an intervalidation process of two exploratory studies aimed at knowing about displacement and transition-to-university experiences from the perspectives of the migrants themselves. This collection of testimonies, and the subsequent identification of shared experiences among internal migrant students, highlights the triple rupture they experienced (change of city, place of study, and residence). According to their testimonies, students reported perceiving greater independence, self-regulation, and self-knowledge. This article discusses these topics and offers university policy orientations based on the findings, as well as aspects of these processes to explore in future research.</t>
  </si>
  <si>
    <t>10.14507/epaa.30.6057</t>
  </si>
  <si>
    <t>González Carrasco, Diego Andrés; Carrasco, Ana María</t>
  </si>
  <si>
    <t>MEMORY AND IDENTITY. THE AIMARA TEXTILE TRADITION IN NORTHERN CHILE AND THE BUILT SPACE</t>
  </si>
  <si>
    <t>Aimara; Textile Tradition; Housing; Heritage; Arica</t>
  </si>
  <si>
    <t>This article exposes the textile craftwork as memory and identity that Aymara people endured after the migration to coastal cities in northern Chile and manifesting itself in the urban housing's built spaces. Through descriptions of the techniques and tools involved in the textile process and pointing out how it is inserted in the migratory process experienced by the Aymara families in their installation in the city of Arica, we seek to contextualize and explain through a case study, their built presence in urban Aymara homes, as well as the relevance of this activity in the process of creating a sense of belonging to the urban space of Aymara artisan women.</t>
  </si>
  <si>
    <t>63</t>
  </si>
  <si>
    <t>González F.G.; Rodríguez V.Z.</t>
  </si>
  <si>
    <t>Economic Discursivities about Immigration in Chile in the Diario Financiero, El Mercurio de Santiago (Economy and Business), and La Tercera (Pulso); [Discursos econômicos sobre a imigração no Chile em el Diario Financiero, El Mercurio de Santiago (Economia e Negócios) e La Tercera (Pulso)]; [DISCURSIVIDADES ECONÓMICAS SOBRE LA INMIGRACIÓN EN CHILE EN EL DIARIO FINANCIERO, EL MERCURIO DE SANTIAGO (ECONOMÍA Y NEGOCIOS) Y LA TERCERA (PULSO)]</t>
  </si>
  <si>
    <t>discourse; economy; framings; labor market; Migration</t>
  </si>
  <si>
    <t>The current migratory flow to Chile has experienced significant political, economic, and social challenges, making it one of Latin America’s most attractive receiving countries. Faced with this new scenario, this study establishes the discursivities and news approaches developed by the elite economic press and the position occupied by political and economic elites in this discussion. Through a content and critical analysis of the discourse, we examine how the discursivities around the migration phenomenon are constructed in the Diario Financiero, El Mercurio de Santiago (Economía y Negocios), and La Tercera (Pulso) between the years 2016 and 2018. The findings revealed that the Chilean elite economic press positions the discourse of a migrant subject as a financial and production body. The journalistic coverage and the importance that the Chilean elite financial media gave to the news regarding the progress of the discussion of a migration policy and its financial benefits revealed the existing relationship between the economic elites and political power. © 2024, Universidad del Rosario. All rights reserved.</t>
  </si>
  <si>
    <t>10.12804/revistas.urosario.edu.co/disertaciones/a.13541</t>
  </si>
  <si>
    <t>González Marilicán, Matías</t>
  </si>
  <si>
    <t>¿Colonizando el valle central y el borde costero? Dos historias de inmigración y de adaptación ambiental en el antiguo departamento de Imperial, región de La Araucanía (1866-1920).</t>
  </si>
  <si>
    <t>Environmental History; Migration; Chile; Araucania.</t>
  </si>
  <si>
    <t>Abstract The migration studies of the region of Araucanía have not sufficiently considered the environment in their accounts. Through a review of historical documents, the influence of the environment on immigration in the imperial department of Araucanía, in the late XIX century and the early XX century, has been studied. The results suggest that there were two cases of immigration in the region. On the coastal border, the environment imposed itself, generally, on the settlers; while, in the intermediate depression, the inhabitants seemed to adapt themselves, in the best way, to their natural environment.</t>
  </si>
  <si>
    <t>10.29393/rh27-11cvmg10011</t>
  </si>
  <si>
    <t>Gonzalez Pizarro, Jose Antonio; Lufin Varas, Marcelo; Galeno Ibaceta, Claudio</t>
  </si>
  <si>
    <t>LATIN AMERICAN WOMEN IN THE LABOR MARKET OF ANTOFAGASTA DURING THE SALTPETER MINING PERIOD, 1880-1930</t>
  </si>
  <si>
    <t>Argentinians; Bolivians; Peruvians; nitrate; migration</t>
  </si>
  <si>
    <t>During the boom of the nitrate cycle, Antofagasta Region showed an economic and demographic growth higher than the national mean. In this process, it received a strong Latin American migration flow. Women were a significant part of this immigration contingent. We are interested in highlighting four aspects of the presence of Peruvian, Bolivian, and Argentinian women, which are related to regional society: a) Marriage patterns indicating the extent of exogamy or endogamy of the studied groups; b) Geographic origin of female migrants in the zone studied; c) Their main occupation and forms of integration in the labor market; d) Family structures, through the identification of migrant family groups and the way the migrant process occurred.</t>
  </si>
  <si>
    <t>BRITISH IN THE REGION OF ANTOFAGASTA. THE INCIDENTAL BUSINESS WITH MINING ATACAMA DESERT AND NETWORKS (1880-1930)</t>
  </si>
  <si>
    <t>González Pizarro, José Antonio; Lufin Varas, Marcelo; Llanos Reyes, Claudio</t>
  </si>
  <si>
    <t>La inmigración árabe en la región de Antofagasta durante el apogeo del salitre (1880-1930): Distribución espacial y redes sociales</t>
  </si>
  <si>
    <t>Antofagasta; migration; arabs; nitrate; censuses</t>
  </si>
  <si>
    <t>ABSTRACT This paper studies Arab immigration to the Atacama Desert, including Antofagasta city and the hinterland nitrate mines in 1880-1930. For this purpose, the arrival of Palestinians, Syrians, and Lebanese at the American continent and Chile is analyzed in terms of migration factors, their insertion in local societies, xenophobia manifestations they faced, and their impact on cultural and societal development. Concerning the arrival of this migration from the Middle East at Antofagasta Region, two variables are examined, that is, spatial distribution and social network functionality, based on the national censuses of that period, the Archive of Foreigners from the Civil and Identification Registrar, and the Historical Archive from the Ministry of Foreign Affairs.</t>
  </si>
  <si>
    <t>10.29393/rh28-8iajg30008</t>
  </si>
  <si>
    <t>González R.B.; Aguad A.D.</t>
  </si>
  <si>
    <t>BOLIVIAN STUDENTS IN CHILEAN CLASSROOMS. CONTEMPORARY THOUGHT OF GUSTAVO RODRIGUEZ; [ESTUDIANTES BOLIVIANOS EN AULAS CHILENAS. CONTEMPORANEIDAD DEL PENSAMIENTO DE GUSTAVO RODRIGUEZ]</t>
  </si>
  <si>
    <t>Border; Intercultural Education; Migration; War of the Pacific</t>
  </si>
  <si>
    <t>In Chile, in recent years, the interest in knowing the situation of the migrant population has increased. However, many of these studies need to pay more attention to their knowledge of the border areas. This led to the exploration of how education faces issues that have historically generated profound differences between citizens of Bolivia and Chile, such as the war conflict known as the “War of the Pacific..”This article rescues the contributions proposed by Professor Gustavo Rodríguez, contrasting it with the situation that currently characterizes the incorporation of Bolivian migrant students into Chilean classrooms. From a qualitative approach, this article explores the critical issues around the management of diversity in the educational system of Arica, based on the rescue of the contributions of educational authorities, teachers, Bolivian migrant students, and their parents, valuing the contemporaneity of Professor Rodríguez’s proposals. © (2023), (Universidad de Tarapaca). All Rights Reserved.</t>
  </si>
  <si>
    <t>10.4067/s0719-26812023000100141</t>
  </si>
  <si>
    <t>González R.B.; Pizarro E.P.</t>
  </si>
  <si>
    <t>Migrants in classrooms of the chilean border: Representations according to the country of origin; [Migrantes en aulas de la frontera chilena: Representaciones según el país de origen]</t>
  </si>
  <si>
    <t>Prisma Social</t>
  </si>
  <si>
    <t>Border; Education; Inclusion; Migration; School coexistence</t>
  </si>
  <si>
    <t>This research analyzes the representations about the differences between migrant students, depending on their origin, collected by the members of educational establishments of the city of Arica, context characterized by its situation bi-border. It is chosen for a qualitative approach. The collection of information combines focus groups and in-depth interviews. The encoding process was opened, and analyzed the content, from textual chains. The results indicate that the emergence of new migrant groups in the classrooms, from other latitudes, allows you to view the migrant phenomenon in the establishments, those who were invisible to traditional migrant students.</t>
  </si>
  <si>
    <t>Gonzalez-Aguero, Marcela; Burcu, Oana</t>
  </si>
  <si>
    <t>The vulnerabilities of skilled irregular Venezuelan migrants and entrepreneurs in Chile</t>
  </si>
  <si>
    <t>Skilled migrant; vulnerability; informal labour market; entrepreneurship; Latin America</t>
  </si>
  <si>
    <t>In a context marked by restrictive migration policies, precarious living conditions and a neoliberal market, this article explores how Venezuelan migrants incorporated themselves into the job market through informal entrepreneurship, the challenges they faced, and sources of resilience they developed. We draw on eleven semi-structured and in-depth interviews with Venezuelan migrants who participated in a micro-entrepreneurship training program delivered by a Santiago-based NGO during the COVID-19 pandemic. Drawing on the entrepreneurship literature, vulnerability framework and thematic analysis, our findings suggest that there isn't a one-dimensional incorporation into the labour market experience among the group studied, despite similarities among the members; rather there is a dynamic intersectionality of gender, legal status, household economy and structural factors that amplify their precarity. The findings also highlight that migrants' capability of acquiring stable employment was essential to their well-being, in the absence of avenues to acquire formal employment, microenterprises became a source of motivation and resilience, providing them with a network of contacts and social support.</t>
  </si>
  <si>
    <t>10.1080/1369183X.2024.2305270</t>
  </si>
  <si>
    <t>Gonzalez, Felipe</t>
  </si>
  <si>
    <t>Immigration and human capital: consequences of a nineteenth century settlement policy</t>
  </si>
  <si>
    <t>CLIOMETRICA</t>
  </si>
  <si>
    <t>Immigration; Settlements; Human capital; Europeans</t>
  </si>
  <si>
    <t>I study a settlement policy implemented by the Chilean government between 1882 and 1904 to analyze the relationship between European immigration and the human capital of natives. Using historical censuses, I show that this policy was successful in recruiting skilled Europeans, who located in different parts of the country. Using a panel data of provinces observed between 1860 and 1920, I find a strong, positive, and robust correlation between recruited Europeans and the human capital of natives. This finding is not driven by changes in the provision of public goods or regional shocks. However, the arrival of Europeans is associated with an increase local economic output 50 years after the policy was terminated. These changes in the local economy, together with narrative historical evidence, suggest that a modernization of economic activities is a potential explanation for the increase in the human capital of natives.</t>
  </si>
  <si>
    <t>10.1007/s11698-019-00194-x</t>
  </si>
  <si>
    <t>Gonzalez, Francisco Orrego</t>
  </si>
  <si>
    <t>⟪Los indios de tan lejos⟫. Indigenous migration, episcopal criticism and political reflection on a local synod in Southern America (Santiago de Chile, 1626)</t>
  </si>
  <si>
    <t>ANUARIO DE ESTUDIOS AMERICANOS</t>
  </si>
  <si>
    <t>Indigenous Mobility; Bishops; Encomenderos; Frontier; Synod; Chile; 17th Century</t>
  </si>
  <si>
    <t>This article studies various problems and processes such as indigenous mobility, bishopric displacement, the action of encomenderos, geography and how they participated in the political and territorial construction of the Kingdom of Chile at the beginning of the 17th century. All these elements will converge in 1626 when a diocesan synod was held in Santiago. The article argues that the entry of Huarpe Indians into the central zone of Chile promoted the construction of alternative spaces for political action, such as the synod, strengthening a model of polycentric administration of the monarchy.</t>
  </si>
  <si>
    <t>10.3989/aeamer.2023.1.04</t>
  </si>
  <si>
    <t>Gonzalvez, Herminia</t>
  </si>
  <si>
    <t>Rethinking Sexuality from the Field of Migration: A Multi-Sited Ethnography of Colombian Migrant Heterosexual Couples</t>
  </si>
  <si>
    <t>Sexuality; gender; kinship; families related to migration</t>
  </si>
  <si>
    <t>This article analyzes the impact of transnational mobility on the sexual practices of migrant women. It is done from a feminist perspective, reviewing kinship, sexuality and gender inequalities that are embedded in certain circles of society and assigned dichotomously to men and women, almost always to the detriment of the latter. Based on the ethnography of families and social networks linked to migration, it shows, on the one hand, the auto-ethnographic process that triggered the analysis of changes in sexual practices of women in heterosexual couples as a result of migration and, on the other, how ethnography enables us to reflect on sexuality in the field of migration.</t>
  </si>
  <si>
    <t>10.7440/res49.2014.08</t>
  </si>
  <si>
    <t>Gouritin A.</t>
  </si>
  <si>
    <t>Climate Displacement in Mexico: Towards Vulnerable Population Protection</t>
  </si>
  <si>
    <t>Climate displacement politico-legal national framework; Climate induced forced displacement; Climate-Change Impacts; Forced displacement induced by climate impacts; Indigenous peoples; Mexico; Migration; Women and gender issues</t>
  </si>
  <si>
    <t>This book presents the updated results of an investigation carried out in 2019. The National Autonomous University of Mexico’s (UNAM) Climate Change Research Program (PINCC), funded the research coordinated by Armelle Gouritin. The research aims to answer the following questions: Does the Mexican legal framework and public policies address forced internal climate mobility? If not, what could be the elements of a legal framework and public policies to address the phenomenon? As the phenomenon was approached it was clear that it was extremely complex and consisted of numerous tensions that would lead to other questions throughout the research process. Climate forced internal displacement is projected as a huge-scale phenomenon in Mexico. Against this background, the book provides the first critical diagnosis of the current politico-legal Mexican framework and finds it to be lagging behind in terms of prevention and attention. The book analyses the three-level Mexican governance (federal, state and local levels), and identifies serious loopholes according to a rights-based approach that particularly focuses on women, indigenous peoples, and persons and communities with scarce economic resources. The results provide information on up-coming legislative and political processes and provide benchmarks that can be applied in other case-studies, including other national frameworks’ critical analysis. © The Editor(s) (if applicable) and The Author(s), under exclusive license to Springer Nature Switzerland AG 2022.</t>
  </si>
  <si>
    <t>10.1007/978-3-031-10335-3</t>
  </si>
  <si>
    <t>Granda L.; Soriano-Miras R.M.</t>
  </si>
  <si>
    <t>Violence and resistance: Moroccan domestic workers after the closure of Spain’s southern border; [Violencia y resistencias: trabajadoras del hogar marroquíes tras el cierre de la Frontera Sur]</t>
  </si>
  <si>
    <t>Revista CIDOB d'Afers Internacionals</t>
  </si>
  <si>
    <t>cross-border work; domestic workers; Melilla-Nador border; migration; Morocco; Spain; structural violence</t>
  </si>
  <si>
    <t>Before the COVID-19 pandemic, thousands of Moroccan women crossed the border between Melilla and Morocco on a daily basis to work in domestic employment, a consolidated niche sector of cross-border employment for low-skilled working-class women. When the border closed due to COVID-19 lockdowns in 2020, many decided to remain in Melilla. Following the precepts of grounded theory and using biographical interviews, the paper investigates the survival strategies these women deployed following the border closure. An ambivalent process began: on the one hand, their labour conditions worsened, exposing them to worse situations of violence; on the other, they developed strategies of resistance and agency, assuming the role of breadwinner for their families and opting for a process of emancipation through inclusion and training opportunities in the city of Melilla © 2023, Revista CIDOB d'Afers Internacionals.All Rights Reserved.</t>
  </si>
  <si>
    <t>10.24241/rcai.2023.133.1.91</t>
  </si>
  <si>
    <t>Grande R.; González J.M.G.</t>
  </si>
  <si>
    <t>Migration and fertility of peruvian women in Chile and Spain; [Migración y fecundidad de las mujeres peruanas en Chile y España]</t>
  </si>
  <si>
    <t>Chile; Fertility; Selectivity; South-South migration; Spain</t>
  </si>
  <si>
    <t>The aim of this paper is to compare the reproductive behavior between the Peruvian migrations South-South to Chile and South-North to Spain. We analyze different fertility indicators constructed from microdata to Chile Population Census (2012), Peru Population Census (2007) and Spanish Natural Population Movement (2007). The results show important differences in fertility between South-South and South-North Peruvian migrants, associated with the different patterns of selectivity, the greater weight of socialization in South-South migrants, and the importance of reception contexts in the degree of integration into the reproductive behavior of the host country. © 2019, El Colegio de la Frontiera Norte. All rights reserved.</t>
  </si>
  <si>
    <t>10.33679/rmi.v1i1.2089</t>
  </si>
  <si>
    <t>Grau Rengifo, Maria Olaya; de Toro Consuagra, Ximena; Cardenas Sanchez, Maria Elvira</t>
  </si>
  <si>
    <t>Meanings of respectful parenting in migrant families linked to Chile Grows with You</t>
  </si>
  <si>
    <t>respectful parenting; migration; Chile Crece Contigo; cultural pertinence; vulnerability</t>
  </si>
  <si>
    <t>The article approaches the parenting experiences of Latin American migrant parents in Santiago de Chile; focusing on the way they perceive and experience the concept of respectful parenting promoted by the 'Chile Crece Contigo' System (ChCC, for its acronym in Spanish). Seventeen semi-structured interviews and a discussion group were conducted with migrant families who attend family health centers in the Metropolitan region of Santiago; as well as semi-structured interviews with the professionals of the 'Chile Crece Contigo' System. It is noted that the understanding of respectful parenting is usually strained by the vulnerabilities generated by migration, the message transmission, the role of the community and cultural aspects. Finally, it is concluded that the promotion of respectful parenting should consider the cultural relevance and the migrant condition of families, which usually implies the lack of a support network and experiencing situations of vulnerability.</t>
  </si>
  <si>
    <t>10.4067/S0718-23762022000100183</t>
  </si>
  <si>
    <t>Grau Rengifo, Maria Olaya; Elvira Cardenas, Maria; Alamo, Nicolle; Tesch Cataldo, Luisa</t>
  </si>
  <si>
    <t>Emotions as part of parenting in the context of international migration</t>
  </si>
  <si>
    <t>emotions; parenting; migration; Latin America</t>
  </si>
  <si>
    <t>Mothers experience an array of emotions as part of the work of parenting. However, when they raise their children in the context of migration, these emotions are also influenced by the difficulties of the migratory process, the related sense of loss, and relationships in the mothers' places of origin and destination. This article explores and analyses the family relationships and emotions of Latin American migrant mothers. The authors examine their experience of the task of parenting as well as their relationship with the migratory process and sense of loss. Semi-structured qualitative interviews were conducted and a discussion group was formed with migrant mothers currently living in Santiago de Chile. It was observed that the migratory process is marked by certain moments that generate different emotions, which are reflected in the task of parenting. The article concludes that there are dimensions that influence such emotions on a daily basis and place a strain on the task of parenting, as well as cultural aspects that are intertwined in the way such women raise their children.</t>
  </si>
  <si>
    <t>Griffen S.; Robinson S.-A.</t>
  </si>
  <si>
    <t>(Un)just post-disaster mobilities in small island developing states: Revisiting the patterns and outcomes of three major environmental disasters in the Caribbean</t>
  </si>
  <si>
    <t>Adaptation; Adaptive capacity; Displacement; Migration; Sensitivity; Vulnerability</t>
  </si>
  <si>
    <t>Research on post-disaster mobilities in small island developing states has largely offered global-level analyses, and if regional, mostly focused on the Pacific. This article helps fill this gap by offering a Caribbean perspective on environmental risk and response—it uses de Haas' [1] aspirations-capabilities framework to revisit the mobility patterns and outcomes of three large-scale geological and hydro-meteorological disasters, representing the two most prevalent hazard types in the region. It draws on secondary sources to qualitatively contextualize the structural factors that affected mobilities following the eruption of the Soufriére Hills volcano in Montserrat in 1995, the 7.0 magnitude earthquake in Haiti in 2010, and the passage of Hurricane Irma across Barbuda in 2017. It generates disaster- and region-specific results, and finds several factors that exacerbate inequalities at the individual and household levels, including the nature of the country's historical relationship with receiving States, and a reliance on ad hoc disaster responses by foreign actors. In concluding, the article proposes three policy foci for facilitating more just post-disaster mobilities in the region. These center the need for more coordinated mobility governance, including the strengthening of regional and international legal frameworks to protect those forced to leave their homes. © 2023 The Authors</t>
  </si>
  <si>
    <t>10.1016/j.ijdrr.2023.104029</t>
  </si>
  <si>
    <t>Grimson A.</t>
  </si>
  <si>
    <t>Social anthropology and transnational studies in latin america: Introduction; [Antropologia social e estudos transnacionais na américa latina: Introdução]</t>
  </si>
  <si>
    <t>Etnografica</t>
  </si>
  <si>
    <t>Anthropology; Borders; Globalization; Latin America; Migration; Trasnationalism</t>
  </si>
  <si>
    <t>The article analyzes the change of perspectives and narratives about national borders, the circulation of people and the political definitions of the limits of the National State in the social sciences since the fall of the Berlin Wall, in 1989, to the most recent outcomes of the international geopolitics. The place occupied by the transnational perspective of migration is questioned, inquiring its role in the formation of critical anthropological reflections that, in the last two decades, have allowed a re-oxygenation of the classical categories of analysis in the social sciences. The discussion also sediments the questioning about the possible outcomes of this anthropological reflection in a context of profound international political changes regarding human mobility. © 2018, Centro em Rede de Investigacao em Antropologia. All rights reserved.</t>
  </si>
  <si>
    <t>Gronemeyer M.-E.; del Pino M.; Porath W.</t>
  </si>
  <si>
    <t>The Use of Generic Frames in Elite Press: Between Conflict, Neutrality, and an Empowered Journalist</t>
  </si>
  <si>
    <t>Chile; elite press; Framing; political journalism; qualitative analysis; Semetko and Valkenburg</t>
  </si>
  <si>
    <t>We propose to submit the existence of the five generic frames advanced by Semetko and Valkenburg [2000. “Framing European Politics: A Content Analysis of Press and Television News.” Journal of Communication 50 (2): 93–109. doi:10.1111/j.1460-2466.2000.tb02843.x] to a qualitative validation test. We strive to enrich this theory, given its potential to do comparative research across borders, testing it outside the cultural context where it was created, and thus contributing to perfecting its research methods and application, with the inclusion of local frames, better adapted to the Latin American cultural space. A three-year sample of political coverage was analyzed in two Chilean mainstream newspapers often accused of uniform ideological perspective. Although the five frames are used, a simplified form of the conflict frame practically eclipses the other four in use. Two others were identified (“defense” and “informative”), as well a narrative perspective, almost like a meta-frame, which installs the perception that the journalist knows more than ordinary citizens, their colleagues and other political actors. © 2019 Informa UK Limited, trading as Taylor &amp; Francis Group.</t>
  </si>
  <si>
    <t>10.1080/17512786.2019.1665473</t>
  </si>
  <si>
    <t>Groos, Marielena</t>
  </si>
  <si>
    <t>Desafiando el régimen migratorio en Iquique: prácticas de resistencia desde la sociedad civil</t>
  </si>
  <si>
    <t>civil society organisation; migration regime; practices of resistance</t>
  </si>
  <si>
    <t>Abstract: In the city of Iquique, in northern Chile, new features can currently be identified regarding the phenomenon of migration. This is due to the entry of migrants through unauthorised border crossings, which has mainly occurred since the closure of the borders by law during the Covid-19 pandemic. Taking into account that global migration regimes share similar dynamics in different geographical locations, but encounter a variety of local processes, this article seeks to analyse the specific form that the migration regime has taken in this particular local context. The article explores how civil society organisations challenge the migration regime at the local level, identifying various practices of resistance. For this particular study, six problem-focused interviews were conducted with people who form part of civil society organisations involved in migrants' struggles in the aforementioned city. The testimonies gathered indicate that the migration regime is being challenged at the local level through diverse practices of solidarity and collective resistance by civil society at the grass-roots level, and that the types of resistance that have been adopted have different transformative effects that influence migration policies.</t>
  </si>
  <si>
    <t>10.4067/s0719-09482023000100205</t>
  </si>
  <si>
    <t>Guerra-Zúñiga, María; Segovia-Chamorro, Jaime</t>
  </si>
  <si>
    <t>Uso de cómics para la formación médica en contenidos de migraciones internacionales y salud</t>
  </si>
  <si>
    <t>FEM: Revista de la Fundación Educación Médica</t>
  </si>
  <si>
    <t>Comics; Graphical medicine; International migration; Medical education; Narrative medicine</t>
  </si>
  <si>
    <t>Introduction: Research on international migration and their relationship with health-disease-care in Chile is currently relevant. This study was aimed to analyze comics made by medical students, in order to know the messages about health and migrations and the perception with respect to their use in education. Subjects and methods: Qualitative study that analyzed comics made by medical students from the University of Valparaíso, as a requisite to pass a course about intercultural health. The principles of photographic analysis were employed to describe and interpret the comics. Focus groups and content analysis were used to identify the perceptions with respect to the use of comics as a learning tool in the course. Participation was voluntary and anonymous. Results: Comics expressed a migrant reality personified in Haitian people. Language barriers, overcrowding, limited access to job and difficulties to obtain health care are characteristics expressed by the students. Although innovative, the use of comics as an assessment tool was initially resisted. It was perceived as promoting teamwork and humanization of medicine. It was also considered that comics could reflect the contents learned. Conclusion: The use of comics in medical students contributes to education in international migrations and health and to the humanization of medicine.</t>
  </si>
  <si>
    <t>10.33588/fem.234.1065</t>
  </si>
  <si>
    <t>Guerra, Estrella Aguilar; Ceballos, Franco Villalobos; Rodriguez, Romina Ramos</t>
  </si>
  <si>
    <t>Migracao venezuelana no norte do Chile: o caso de criancas migrantes desacompanhadas</t>
  </si>
  <si>
    <t>SIMBIOTICA</t>
  </si>
  <si>
    <t>migration; venezuelan migration; separated child migrants; Chile</t>
  </si>
  <si>
    <t>During the last decade, the Chilean State has generated various administrative measures to order and regulate migratory flows. In this scenario, it is identified that, because of the border closure due to the pandemic, and the implementation of restrictive migration policies adopted by the Chilean Government since 2018 the irregular entry and administrative sanctions of thousands of foreign citizens, particularly of Venezuelan origin. One of the effects detected in the restrictive management of these flows was the entry of unaccompanied foreign children and adolescents through unauthorized passes, located in the extreme north of Chile. However, the objective of this study was to learn, from an exploratory perspective, about the response generated by the Chilean State in dealing with unaccompanied migrant children and their protection. To this end, we interviewed people involved in migrant children's issues and institutional informants working in the field. We conclude that, despite the timid efforts of the judiciary to address unaccompanied migrant children, the Chilean State has not been able to safeguard the protection of unaccompanied children and adolescents in contexts of forced mobility.</t>
  </si>
  <si>
    <t>10.47456/simbitica.v10i1.40866</t>
  </si>
  <si>
    <t>Guerrero R.F.; Inostroza C.N.</t>
  </si>
  <si>
    <t>Adults' professional education: Experiences and expectations of online Chilean students</t>
  </si>
  <si>
    <t>Affectivity and Learning: Bridging the Gap Between Neurosciences, Cultural and Cognitive Psychology</t>
  </si>
  <si>
    <t>Adult education; Affectivity; Chile; Online education</t>
  </si>
  <si>
    <t>Adult professional-nonuniversity-education has had a growing interest as a phenomenon of study (Merriam, The profession and practice of adult education: An introduction. John Wiley &amp; Sons, 2007). There is consensus that these are voluntary activities, with very broad objectives and modalities (Zoellick, Philosophical orientation to adult learning: A descriptive study of Minnesota environmental education practitioners (Tesis de Maestria). Duluth, 2009). Most professional education research has focused on cognitive processes and the transfer of rational knowledge (Desjardins and Schuller, Understanding the social outcomes of learning. In R. Desjardins &amp; T. Schuller (Eds.), Measuring the effects of education on health and civic engagement (pp. 11-18). OECD, 2006; Manninen, Wider benefits of learning within liberal adult education system in Finland. In: Horsdal (Ed.), Communication, collaboration and creativity: Researching Adult Learning. Syddansk Universitetsforlag, Odense, pp 17-35, 2010). In this way, the literature has not paid enough attention to the importance of affectivity in achieving significant learning (Guedes and Mutti, J Workplace Learn 23(3):195-208, 2010; Schutz et al., Educ Psychol Rev 18(4):343-360, 2006). Along with this, the COVID-19 pandemic situation had the consequence that adult education was taken to non-face-to-face environments, based on learning platforms (UNESCO, COVID-19: 10 recommendations to plan distance learning solutions. UNESCO. Available on: https://bit.ly/34BE6dg, 2020). Its experience, planning, and development were not the same as those experiences specifically designed to be taught online (Hodges et al., The difference between emergency remote teaching and online learning. Retrieved October 3, 2020, from Educause Review website: https://er.educause.edu/articles/2020/3/the-difference-between-emergency-remote-teaching-and-, 2020). The sense of urgency and need could mean that the affectivity dimension has not been addressed in sufficient depth (D'Mello et al., User Model User-Adapt Interact 18(1-2):45-80, 2008; Binali et al., Computational approaches for emotion detection in text. In 2010 4th IEEE international conference on digital ecosystems and technologies (DEST) (pp. 172-177), 2010; Rodriguez et al., Extracting emotions from texts in E-learning environments. In 2012 sixth international conference on complex, intelligent and software intensive systems (CISIS) (pp. 887-892). https://doi.org/10.1109/CISIS.2012.192, 2012; Colace et al., Sentiment analysis and E-learning: A proposal, presentado en ICEE/ICIT international conference on Engineering Education &amp; International Conference on formation technology, 2014). The chapter presented below provides the results of a study in which the perceptions of students who received professional education in their work environments are evaluated qualitatively through 25 semi-structured interviews, through online learning, and by paying attention to the affective dimensions as a central aspect of the achievement of their learning. © The Author(s), under exclusive license to Springer Nature Switzerland AG 2023. All rights reserved.</t>
  </si>
  <si>
    <t>10.1007/978-3-031-31709-5_3</t>
  </si>
  <si>
    <t>Guerrero, Maribel; Mandakovic, Vesna; Apablaza, Mauricio; Arriagada, Veronica</t>
  </si>
  <si>
    <t>Are migrants in/from emerging economies more entrepreneurial than natives?</t>
  </si>
  <si>
    <t>INTERNATIONAL ENTREPRENEURSHIP AND MANAGEMENT JOURNAL</t>
  </si>
  <si>
    <t>Human capital; Institutional economics; Migrant entrepreneurship; Entrepreneurship quality; Internationalization; Emerging economies</t>
  </si>
  <si>
    <t>The academic debate in migrant entrepreneurship has mainly focused on movements from emerging economies into developed economies. Anecdotal evidence has suggested that the highest impact is generated by migrants in/from emerging economies. To extend this academic discussion in the Latin-American context, this study investigates why migrants are more entrepreneurial than natives. By adopting the human capital and the institutional approach, we theorize that individual and environmental conditions produce selection/discrimination effects in the host labour market. Consequently, these effects influence migrants' decision to become entrepreneurs. We tested our hypotheses using a sample of 13,368 adults between the ages of 18-64 based across the 16 Chilean regions. Our results showed that being a high-skilled migrant in a dynamic emerging economy is not a guarantee of success in the labour market, but it is a determinant of international and necessity-driven entrepreneurship. Several implications and a provocative discussion emerged from these findings.</t>
  </si>
  <si>
    <t>10.1007/s11365-020-00714-6</t>
  </si>
  <si>
    <t>Guerrero, Maribel; Wanjiru, Roseline</t>
  </si>
  <si>
    <t>Entrepreneurial migrants from/in emerging economies: breaking taboos and stereotypes</t>
  </si>
  <si>
    <t>Migrants; Emigrants; Immigrants; Refugees; Returned; Entrepreneurship; Institutions; Emerging Economies</t>
  </si>
  <si>
    <t>Entrepreneurial migration from/in emerging economies, as grand societal and humanitarian challenges that we currently face, underscores the need for scholarly research. In our role as social science researchers, this special issue aimed to stimulate scholars from different social science fields to rethink more broadly about the opportunities for making an impact with our research focus on entrepreneurial migration from/in emerging economies. This article provides an overview of the theoretical, empirical, managerial, and policy implications of entrepreneurial migrants from/in emerging economies research. It puts forward key concepts and measures, explores the relations within the current broader literature on migration and entrepreneurship, and identifies several gaps that represent future research questions. We also introduce eight papers in a special section of this issue, which offer answers to critical gaps and questioning some taboos/stereotypes related entrepreneurial migrants. We conclude by outlining an agenda for engaging the academic community to extend research on entrepreneurial migrants from/in emerging economies. It is the perfect time to make a difference through our research, teaching, and interaction with multiple socioeconomic agents to constitute impacts that endorse a real transformation for supporting the migrants' community.</t>
  </si>
  <si>
    <t>10.1007/s11365-021-00754-6</t>
  </si>
  <si>
    <t>Guevara Ortiz, Odaly Ivette; Alfaro Urrutia, Jorge Eduardo</t>
  </si>
  <si>
    <t>Probing into the Adaptation Process of Postgraduate Migrant Students at a State University in Southern Chile</t>
  </si>
  <si>
    <t>REVISTA EDUCACION</t>
  </si>
  <si>
    <t>Migrant Students; Adaptation; Teaching Strategies; Chilean Migration</t>
  </si>
  <si>
    <t>Chile is one of the Latin American countries that has experienced a significant rise of migrant students in its student body (Vasquez-De Kartzow, Castillo-Duran and Lera, 2015)..e recent implementation of a migrant student policy approved by the Chilean Ministry of Education (MINEDUC, 2018) reveals an incipient terrain in which it is interesting to analyze the academic adaptation processes of foreign postgraduate students from a state university in the South of Chile. A qualitative case study was executed whereby seven foreign students and three of their postgraduate lecturers were interviewed..e results reveal pedagogical and external factors which, imbedded by culture, have a positive or negative influence on learning. Yet, despite idiomatic similarities, migrant students face many linguistic and relational barriers through which they may experience assimilation or cultural isolation. Strengthening institutional practices is the main recommendation for greater inclusion.</t>
  </si>
  <si>
    <t>10.15517/revedu.v45i1.43617</t>
  </si>
  <si>
    <t>Gugushvili A.</t>
  </si>
  <si>
    <t>Political democracy, economic liberalization, and macro-sociological models of intergenerational mobility</t>
  </si>
  <si>
    <t>Democracy; Industrialization; Inequality; Liberalization; Migration; Multilevel analysis; Post-communism; Social mobility</t>
  </si>
  <si>
    <t>Building on the previously investigated macro-sociological models which analyze the consequences of economic development, income inequality, and international migration on social mobility, this article studies the specific contextual covariates of intergenerational reproduction of occupational status in post-communist societies. It is theorized that social mobility is higher in societies with democratic political regimes and less liberalized economies. The outlined hypotheses are tested by using micro- and macro-level datasets for 21 post-communist societies which are fitted into multilevel mixed-effects linear regressions. The derived findings suggest that factors specific to transition societies, conventional macro-level variables, and the legacy of the Soviet Union explain variation in intergenerational social mobility, but the results vary depending which birth cohorts survey participants belong to and whether or not they stem from advantaged or disadvantaged social origins. These findings are robust to various alternative data, sample, and method specifications. © 2017 Elsevier Inc.</t>
  </si>
  <si>
    <t>10.1016/j.ssresearch.2017.06.003</t>
  </si>
  <si>
    <t>Guizardi M.</t>
  </si>
  <si>
    <t>When borders transnationalize people: Reframing the migrant transnationalism in the andean triborder area; [Quando as fronteiras transnacionalizam as pessoas: Repensar o transnacionalismo migrante na tríplice fronteira andina]</t>
  </si>
  <si>
    <t>Andean tri-border area; Borders; Migration; Shepherding; Transnationalism</t>
  </si>
  <si>
    <t>This article derives from ethnographic studies developed in the Northern Chilean territories that lie adjacent to Peru and Bolivia. The research results suggest that the daily activities of transborder inhabitants generate frictions between the local inscription of social practices, and the transnationalization of communitarian knowledge, economies and memories. These frictions situationally update the national identities in these areas. Over the last two decades, an idea has prevailed in migratory studies that the migrant’s border crossings articulate transnational social fields between origin and host societies, leading to a globalization “from below.” Ethnographic findings defy this conception, since the social networks and practices that interconnect these borderlands predate the establishment of the national frontiers. It was not the communities who transnationalized the territories: the borders transnationalized them. I will illustrate this assertion by ethnographically following Joanna, an Aymaran shepherdess that found a transnational solution to the lack of successors to her shepherding activities. © 2018, Centro em Rede de Investigacao em Antropologia. All rights reserved.</t>
  </si>
  <si>
    <t>10.4000/etnografica.5197</t>
  </si>
  <si>
    <t>The Migration Crisis and the Ecstasies of Hatred</t>
  </si>
  <si>
    <t>American Southern Cone; Democratic crisis; Hate speech; Migration; Racism</t>
  </si>
  <si>
    <t>This chapter introduces the book by describing the transformation of the hegemonic imaginaries on migration since the nineties. Theories produced in the Global North describe that decade as an “era of migration” while the present moment has been typified as a “post-globalized” one. This new era is characterized by a political turn to the right (and extreme right) in many countries of the world; the production of anti-immigration hate speech, and an increase in racism, xenophobia, classism, and misogyny. The chapter explores the impacts these processes have on the American Southern Cone, which is facing an increasingly severe crisis with social, economic, and political dimensions. This crisis results from the radicalization of neoliberal policies implemented in countries such as Argentina, Brazil, and Chile. Understanding how this globalized scenario thrives in, changes, or alters specific contexts in the American Southern Cone, and its peculiar relationship with the migratory phenomenon, presents challenges for social research. This volume aims to respond to these challenges; its objectives, analytical frameworks, and contributions are summarized at the end of this chapter. © 2021, The Author(s), under exclusive license to Springer Nature Switzerland AG.</t>
  </si>
  <si>
    <t>Part F1332</t>
  </si>
  <si>
    <t>10.1007/978-3-030-68161-6_1</t>
  </si>
  <si>
    <t>Ultra-Intensity Patriarchy: Care and Gender Violence on the Paraná Tri-Border Area</t>
  </si>
  <si>
    <t>Borders; Care; Ciudad del Este; Feminism; Foz de Iguazú; Gender violence; Human trafficking; Intersectionality; Migration; Migration and gender; Paraná tri-border; Puerto Iguazú; South America; Transborder circuits of care; Transborder commerce; Transborder mobility; War of Paraguay</t>
  </si>
  <si>
    <t>This book analyzes the experiences of women living and working across the busiest and most transited frontier in South America, the Paraná Tri-Border Area (TBA), between Argentina, Brazil, and Paraguay. From a feminist approach, it shows how, in these territories, the gender violence is intensified, configuring an expression of ultra-intensity patriarchy. Based on ethnographic fieldwork conducted for two years along with Paraguayan women living and working between Ciudad del Este (Paraguay), and Foz de Iguazú (Brazil), the authors analyze, on the one hand, the intricate connection between gender violence and ethnicity on these borders; and, on the other hand, the persistence of a female care that appears to offer a fundamental tool of resistance, of vital female drive. The work is divided into three parts. The first is intended to read like a trip to this complex and fascinating corner of South America through a visual and ethnohistoric journey of the region, as well as a theoretical debate that defines gender violence and its particular condensation on border territories. The second part explores the women’s stories in-depth and follow the narrative thread of their biographies, rebuilding their experiences from their families of origin to their productive insertion on the TBA. Finally, the third part takes an in-depth look at the complex links between the social reproduction obligations that fall on women, and the gender violence on the TBA, stressing how they develop strategies to change their life conditions by establishing transborder circuits of care. Ultra-Intensity Patriarchy: Care and Gender Violence on the Paraná Tri-Border Area will be a valuable tool for researchers from different disciplines, such as anthropology, sociology, population studies and gender studies, interested in the growing field of studies of feminism, borders, and migration from an intersectional perspective. © The Editor(s) (if applicable) and The Author(s), under exclusive license to Springer Nature Switzerland AG 2021.</t>
  </si>
  <si>
    <t>10.1007/978-3-030-85750-9</t>
  </si>
  <si>
    <t>Guizardi M.; López E.; Gonzálvez Torralbo H.; Stefoni C.</t>
  </si>
  <si>
    <t>The Situated Theory</t>
  </si>
  <si>
    <t>Argentina; Borders; Brazil; Gender; Human trafficking; Migration; Mobilities; Organized crime; Paraguay; Paraná Tri-Border Area; Violence</t>
  </si>
  <si>
    <t>This chapter explores the relationship between women’s experiences and gender violence in the Paraná Tri-Border Area (TBA) (between Argentina, Brazil, and Paraguay). First, it discusses the analytical categories that, together with the concept of care (discussed in Chap. 1), form the starting point of this book. Therefore, it offers a synthesis of our theoretical position on violence, establishing its links with the notion of gender mandates and the patriarchal division between public and private spaces. In addition, it discusses the relationship between gender violence and borders in Latin America, focusing on the territories between Mexico and the USA. Second, it reviews the main findings of studies on gender violence in the Paraná TBA, addressing three central problems: (1) trafficking of women and minors for sexual purposes; (2) cross-border mobility and female productive/reproductive overload, and (3) intersectional discrimination suffered by rural female workers and the dispossession of their families’ farmlands. © The Editor(s) (if applicable) and The Author(s), under exclusive license to Springer Nature Switzerland AG 2021.</t>
  </si>
  <si>
    <t>10.1007/978-3-030-85750-9_4</t>
  </si>
  <si>
    <t>Guizardi M.; Mardones P.</t>
  </si>
  <si>
    <t>The Strategic Production of Hate: Anti-migrant Discourse and Xenophobic Practices in Foz de Iguazú, Brazil</t>
  </si>
  <si>
    <t>Ethnography; Foz de Iguazú; Hate speech; Migration; Parana River; Triple Frontier</t>
  </si>
  <si>
    <t>This chapter aims to provide an ethnographic description of the social impact that anti-migrant hate speech has in the Brazilian city of Foz de Iguazú in the Paraná Tri-Border Area (TBA), on the frontiers between Brazil, Paraguay, and Argentina (at the confluence of the Paraná and Iguazú rivers). We will analyze Brazil’s current political context, focusing particularly on the present impact of military imaginaries that began to spread in this border zone in the seventies. Our ethnographic methodology included 60 individual interviews and a focus group with 11 participants (international students, professors, and technical staff from the Universidad Federal de la Integración Latinoamericana [Federal University of Latin American Integration], all from a qualitative perspective. The results show that xenophobia has become official discourse in Brazil, articulated with statements that advocate intolerance towards minorities and vulnerable sectors. This broad phenomenon has specific implications in Foz de Iguazú because of the city’s border and military configurations. Our study also shows that xenophobic discourse and practices form part of racist imaginaries that have a greater impact on migrant women. © 2021, The Author(s), under exclusive license to Springer Nature Switzerland AG.</t>
  </si>
  <si>
    <t>10.1007/978-3-030-68161-6_6</t>
  </si>
  <si>
    <t>When Data Undermine Discourse: Migration and Post-Globalization in Chile</t>
  </si>
  <si>
    <t>Chile; Hate discourses; Migration; Migration policies; Post-globalization; Racism</t>
  </si>
  <si>
    <t>This chapter analyzes how the political narrative that criminalizes migration in Chile relates to the migration outlook according to official statistics. For this analysis, the discourses on migration under the administration of President Sebastián Piñera, who took oath in 2018, will be outlined before comparing its affirmations with demographic data and qualitative research on the topic. Data on Chileans residing abroad and on migration within different regions of Chile are also examined to reveal that the phenomenon is indeed a heterogeneous one. In the conclusions, we point out that there are no empirical data to support the hypothesis that migrants in Chile pose – or could pose – a problem. The official data analyzed demonstrate just the contrary. Thus, the measures taken by the current Chilean administration are not consistent with any possible reading of State statistics. It is possible to observe that Piñera’s plan to “put the house in order” is a policy centered on controlling Chilean borders and consummating regulatory processes but makes no effort toward acknowledging or integrating migrants. © 2021, The Author(s), under exclusive license to Springer Nature Switzerland AG.</t>
  </si>
  <si>
    <t>10.1007/978-3-030-68161-6_7</t>
  </si>
  <si>
    <t>Guizardi M.; Stefoni C.; Magalhães L.; Nazal E.</t>
  </si>
  <si>
    <t>“I Was that Dream”</t>
  </si>
  <si>
    <t>Argentina; Border; Brazil; Education; Gender; Labor market; Migration; Mobilities; Paraguay; Paraná Tri-Border Area; Social inequality</t>
  </si>
  <si>
    <t>This chapter presents a case study on Paraguayan women’s experiences in the Paraná Tri-Border Area (TBA) (between Argentina, Brazil, and Paraguay), based on the analysis of their life history interviews. Its main objective is to describe these women’s access to education, showing how it influenced their first incursions into the labor market and the difficulties they faced in carrying out their productive activities in the TBA. Furthermore, the chapter seeks to explain how, in their efforts to reconcile productive and reproductive activities, they (dialectically) confront and reproduce the dynamics of gender inequality: they have first-hand experience of subordination and exploitation; however, they also develop strategies to deal with these issues. In addition, by analyzing the expectations of transgenerational education transformation that our protagonists project in their children, it shows how these circumstances imply a contradiction between the abuses the women suffer and the autonomy they gain. © The Editor(s) (if applicable) and The Author(s), under exclusive license to Springer Nature Switzerland AG 2021.</t>
  </si>
  <si>
    <t>10.1007/978-3-030-85750-9_6</t>
  </si>
  <si>
    <t>Guizardi M.L.</t>
  </si>
  <si>
    <t>Migration, integration and nationalism: Reflections for an inclusive citizenship; [Migración, integración y nacionalismo: Reflexiones para una ciudadanía inclusiva1]</t>
  </si>
  <si>
    <t>Migraciones</t>
  </si>
  <si>
    <t>Citizenship; Democracy; Dialogic consensus; Integration; Migration</t>
  </si>
  <si>
    <t>This paper discusses the concept of social integration, linking it to the debates on citizenship in the context of democratic states. The discussion sheds light upon how the ideology of constitutive homogeneity in modern Nation-States has imbued the concept of citizenship, debating the intrinsic relationship of this concept to the principles of freedom and equality. The text also exemplifies how the mechanisms for granting the residence card and nationalization of migrants in Spain build national borders, relapsing into modern conceptions of exclusion / inclusion. In the conclusions, a concept of citizen participation based on dialogic consensus is proposed.</t>
  </si>
  <si>
    <t>Guizardi M.L.; Valdebenito F.; Prof E.N.; López E.</t>
  </si>
  <si>
    <t>Reflections on family transnationalism in border territories; [Reflexiones sobre el transnacionalismo familiar en territorios de frontera]</t>
  </si>
  <si>
    <t>Border; Gender; Migration; Transnational families</t>
  </si>
  <si>
    <t>The articlediscusses the results of an ethnographic research developed between 2012 and 2015 on the Chilean-Peruvian border. In the study, we conducted 87 qualitative interviews, 250 ethnographic photographs, recorded all the experience in 47 weeks of fieldwork reports and applied a survey to 100 Peruvian migrant women. Analyzing these data, we reflect on the definitions of “transnational migrant families” seeking to understand if this category can be applied to border territories.We will start by synthesizing the discussions about transnationalism, transnational families and border territories. Then, we point out the dialectic constitution of national identity in the border area. We question the conceptual relationship between link and distance posed in the notion of transnationalized family and criticize the assumption of family transnationalism as a process of “development” of subjects and communities. In the final remarks, we synthesized our conceptual debate around three axes: rethinking the protagonism of women as agents of transnationalization of cross-border families; questioning the literal spatial dimension of families, and proposing that the categorization of migrant families in border areas expands the concept of factor intersectionality of gender exclusion. © 2018 Universidade Federal de Goias. All rights reserved.</t>
  </si>
  <si>
    <t>10.5216/sec.v21i2.56319</t>
  </si>
  <si>
    <t>Guizardi, Menara</t>
  </si>
  <si>
    <t>THE CONTROL OF SELF: BORDER AND SIMULTANEITY IN AN ETHNOGRAPHY ON THE PERUVIAN MIGRANTS IN ARICA (CHILE)</t>
  </si>
  <si>
    <t>Transnational migration; national borders; gender</t>
  </si>
  <si>
    <t>The paper analyses the modes of reorganization of the self of migrant women in a study about the Peruvian migration in the Chilean city of Arica, in the border area between Chile and Peru. After describing the social and historical context of the city, I will detail the methodology developed for the study. Following the perspective of transnational migration studies, I will analyze some fundamental theoretical considerations on the concept of simultaneity, which will be defined as a dialectical relationship in three dimensions. To illustrate my reflections, I will narrate examples of situations and dialogues of the fieldwork which evidence the particular self constructions of Peruvian migrant woman. Through these examples, I will discuss the simultaneous and transnational production of migrant selves.</t>
  </si>
  <si>
    <t>Guizardi, Menara; Araya, Isabel; Magalhaes, Lina</t>
  </si>
  <si>
    <t>Nacer en aymara. Los usos idiomaticos de migrantes bolivianas en Arica (Chile) 1</t>
  </si>
  <si>
    <t>migration; Aymara women; native languages; Chile; Bolivia</t>
  </si>
  <si>
    <t>The article recovers the testimonies of Bolivian Aymara women residing in Arica (Chile), on the languages spoken by them in their home communities, in the rural-urban mobilities in Bolivia, and after the transborder migration. Three objectives guide this work. First, to describe the changes in the idiomatic experiences between the country of origin and of destination. Second, to correlate these changes with the application of intercultural and/or indigenous recognition legal frameworks in Bolivia and Chile. Third, to analyze the female experience of linguistic practices.</t>
  </si>
  <si>
    <t>10.6092/issn.2036-0967/14516</t>
  </si>
  <si>
    <t>Guizardi, Menara; Dadalto, Maria Cristina</t>
  </si>
  <si>
    <t>The Pandemic and the International Crisis of Human Mobility</t>
  </si>
  <si>
    <t>10.47456/simbitica.v8i2.36376</t>
  </si>
  <si>
    <t>Guizardi, Menara; Nazal, Esteban; Magalhães, Lina</t>
  </si>
  <si>
    <t>Aymara Gender and Kinship. Bolivian Female Mobilities, and Political Horizons</t>
  </si>
  <si>
    <t>Mana</t>
  </si>
  <si>
    <t>Anthropological theory; feminisms; Aymara communities; state-of-the-art review; Bolivia</t>
  </si>
  <si>
    <t>Abstract This article has two central objectives. First, to present a review of anthropological studies on gender and kinship in Aymara communities, focusing on the literature produced in Bolivia, Chile, and Peru. Second, to review the literature on the transnational/transborder mobility of Bolivian Aymara women. We will begin by examining classic concepts of kinship and patriarchy, taking up the feminist critiques of these arguments. Then, we review the work of classic Andeanism on the Aymara worldview, gender studies in these communities, and research on the migration of Bolivian females in South America. We conclude with a review of critiques on the classic conceptions about the symbolic complementarity of the Aymara. We point out future research possibilities in opening an agenda for indigenous women leaders in Bolivia, investigating the use of the Aymara worldview as a national political platform.</t>
  </si>
  <si>
    <t>10.1590/1678-49442023v29n3e2023033.en</t>
  </si>
  <si>
    <t>Gustas R.; Supernant K.</t>
  </si>
  <si>
    <t>Coastal migration into the Americas and least cost path analysis</t>
  </si>
  <si>
    <t>Journal of Anthropological Archaeology</t>
  </si>
  <si>
    <t>GIS; Landscape; Least Cost Path; Maritime; Migration; Peopling of the Americas</t>
  </si>
  <si>
    <t>We present a theoretical framework for applying Geographic Information System least-cost path modeling to initial migration into the Americas. When integrated with theory, geospatial models can serve as a powerful tool for exploring how ancient humans may have moved through marine environments. We show how a strong theoretical foundation can be used to conduct Maritime Least Cost Path analysis to better understand where, when, and how migration and movement events may have taken place in the deep past. This paper examines possible peopling events along the Pacific Coast of North America during the Late Pleistocene. We ask what the role of modeling is in the search for early sites in the Americas and how models can most effectively be employed by looking at two case studies of migration into Prince Rupert Harbor and the Dundas Islands in British Columbia, Canada around 16,000 cal. yr BP. Our analysis created paths of least resistance for moving through landscapes based on different environmental, physiological, and cultural factors of boat-based travel. We examine the predicted paths created by our model to determine what they say about possible routes of maritime migration and consider the implications for understanding constraints and human agency in migration events. © 2019 Elsevier Inc.</t>
  </si>
  <si>
    <t>10.1016/j.jaa.2019.04.006</t>
  </si>
  <si>
    <t>Gutiérrez Garza A.P.</t>
  </si>
  <si>
    <t>Performing race, class, and status: identity strategies among Latin American women migrants in London</t>
  </si>
  <si>
    <t>class; coloniality; Latin America; migration; Race</t>
  </si>
  <si>
    <t>This paper explores the stories of women migrants from Latin America who found themselves living precarious lives and struggling to sustain former idealised notions of their racial and class identities in London. Dispossessed of previous class membership due to an onward feminised precarity, a diminished social capital, undocumented legal statuses, and menial stigmatised jobs, women clung to an idealised perception of social status (shaped by white Eurocentric aspirations) to negotiate and reconfigure class and racial anxieties in London. They engage in various strategies that include processes of whitening through marriage and children, performances of taste and beauty, and negotiating their racialisation at work. These cases reflect the relevance of the coloniality of power, its influence in the subsistence of racial and class ideologies in Latin America, and in a global economy of care that produces and reproduces postcolonial forms of intersectional racialised and gendered exploitation. © 2023 The Author(s). Published by Informa UK Limited, trading as Taylor &amp; Francis Group.</t>
  </si>
  <si>
    <t>10.1080/1369183X.2023.2281873</t>
  </si>
  <si>
    <t>Gutierrez Mangini, Juan Pablo</t>
  </si>
  <si>
    <t>Transforming from the territory. Towards a communal public policy of migrations. The study case of La Pintana district, Santiago, Chile</t>
  </si>
  <si>
    <t>International migrations; municipalities; communal public politics</t>
  </si>
  <si>
    <t>This paper starts describing the main concepts associated to the international immigration phenomenon in Chile today, and then it analyzes/deepens into the work model that a particular municipality of Santiago, La Pintana, is developing in that area. This text goes through the history behind the local initiatives of the pointed district, which focus on the support of the migrating population, and then explains the specific lines of action that the municipality is working on, and their respective analysis. From an epistemic approach, fundamentally worried about the work methods, and using a mix research methodology to obtain results; this investigation seeks to find out more about the strategy that La Pintana is heading for the creation of its first public policy in the matter of international migrations an refugee solicitants.</t>
  </si>
  <si>
    <t>10.7770/0719-2789.2019.CUHSO.02.A02</t>
  </si>
  <si>
    <t>Gutiérrez-Carmona A.; Urzúa A.</t>
  </si>
  <si>
    <t>Ethnic Identity and Self-Esteem as Mediators of the Effects of Cultural Involvement on the Wellbeing of Indigenous Andean People</t>
  </si>
  <si>
    <t>Journal of Cross-Cultural Psychology</t>
  </si>
  <si>
    <t>Andean people; cultural involvement; ethnic identity; self-esteem; well-being</t>
  </si>
  <si>
    <t>Evaluate the relationship between the cultural involvement and the different dimensions of the Lickan-Antay well-being, as well as the possible mediating effect of ethnic identity and the self-esteem in this relationship. An observational design was used. Three hundred ninety-five Lickan-Antay adult men and women residing in Lickan-Antay development areas and in two cities and northern Chile participated. The variables well-being, Lickan-Antay cultural involvement, self-esteem, and ethnic identity were measured with validated ad hoc scales and with good fit indicators. Cultural involvement has a positive direct effect on dimensions of Lickan-Antay well-being, and total and specific indirect effects on all dimensions of Lickan-Antay well-being, through self-esteem and ethnic identity. Self-esteem and ethnic identity explain an important part of the relationship between cultural involvement and the different dimensions of Lickan-Antay well-being. The results were discussed in the light of previous theories on cultural involvement, ethnic identity, and self-esteem and their relationship with well-being in indigenous communities, recognizing the particularities of these last ones in the Andean Latin American context. © The Author(s) 2022.</t>
  </si>
  <si>
    <t>10.1177/00220221221088337</t>
  </si>
  <si>
    <t>Gutiérrez-Sastre M.; Rivera-Navarro J.; González-Salgado I.; Franco M.</t>
  </si>
  <si>
    <t>Beyond exit, voice, and loyalty: the role of urban resistance in a deprived neighborhood of Madrid</t>
  </si>
  <si>
    <t>Deprived neighborhoods; Hirschman; Inequality; Migration; Resistance; Spain</t>
  </si>
  <si>
    <t>In large cities, the decay of deprived neighborhoods externalizes the consequences of present-day urban social inequality. Residents of these areas often show discomfort with living in a poor environment. Adopting Hirschman's classic Exit, Voice and Loyalty model, this study analyzes the reactions of residents to dissatisfaction in San Diego, a deprived neighborhood in Madrid. A qualitative methodology was applied to analyze the discourses of residents by conducting fourteen focus groups with diverse profiles according to gender, age, socio-labor situation, and geographical origin. The results reflect that, in a deprived neighborhood, there are limits to reactions, so that exit (moving out) is only partially manifested, and voice (social mobilization) is only temporarily activated, conditioned by the situation and organizational capacity. Loyalty, on the contrary, appears as an option that improves coexistence, but it remains attached to long-term residents and hardly welcomes newcomers, especially immigrants. The explanatory capacity of Hirschman's model is here expanded by exploring the use of resistance as a complementary response. This strategy, as a political reaction, complements voice and reinforces agency by seeking concrete improvements in the daily life of the residents. These qualitative research results provide important insight into neighbors’ reactions in deprived areas, where exit and voice, as main options, are limited, and resistance becomes a significant potential for them. © The Author(s) 2023.</t>
  </si>
  <si>
    <t>10.1007/s10901-023-10088-0</t>
  </si>
  <si>
    <t>Hamann, Ulrike; Yurdakul, Gokce</t>
  </si>
  <si>
    <t>The Transformative Forces of Migration: Refugees and the Re-Configuration of Migration Societies</t>
  </si>
  <si>
    <t>citizenship; migration; refugees; transformation</t>
  </si>
  <si>
    <t>In this thematic issue, we attempt to show how migrations transform societies at the local and micro level by focusing on how migrants and refugees navigate within different migration regimes. We pay particular attention to the specific formation of the migration regimes that these countries adopt, which structure the conditions of the economic, racialised, gendered, and sexualized violence and exploitation during migration processes. This interactive process of social transformation shapes individual experiences while also being shaped by them. We aim to contribute to the most recent and challenging question of what kind of political and social changes can be observed and how to frame these changes theoretically if we look at local levels while focusing on struggles for recognition, rights, and urban space. We bring in a cross-country comparative perspective, ranging from Canada, Chile, Spain, Sweden, Turkey, and to Germany in order to lay out similarities and differences in each case, within which our authors analyse these transformative forces of migration.</t>
  </si>
  <si>
    <t>10.17645/si.v6i1.1482</t>
  </si>
  <si>
    <t>Hanna H.</t>
  </si>
  <si>
    <t>Being a migrant learner in a South African primary school: recognition and racialisation</t>
  </si>
  <si>
    <t>Children's Geographies</t>
  </si>
  <si>
    <t>Education; migration; racialisation; South Africa; visual methods; White privilege</t>
  </si>
  <si>
    <t>This article is an exploration of racialised understandings of migrant learners within the educational space of primary school and the social context of xenophobia in South Africa. These understandings draw from small-scale creative visual research that focused on migrant learners’ perspectives on their school experiences. Framed by the concepts of ‘recognition’ and ‘White privilege’, it uses the spatial encounter between two learners–one racialised as White and one as Black–and draws on elements of storytelling to present their fragmentary, mosaic-like narratives, highlighting two facets of racialisation: the prizing of White migrant identities and the erasure of Black migrant identities. This study contributes to the field of children’s geographies in terms of revealing how migrant primary school children experience the school space differently as differently racialised individuals, as well as how research approaches common in education (picturebooks) and Critical Race Theory (storytelling) can enable such stories to emerge in migration research. © 2022 The Author(s). Published by Informa UK Limited, trading as Taylor &amp; Francis Group.</t>
  </si>
  <si>
    <t>10.1080/14733285.2022.2084601</t>
  </si>
  <si>
    <t>Harris A.; Baldassar L.; Robertson S.</t>
  </si>
  <si>
    <t>Settling down in time and place? Changing intimacies in mobile young people's migration and life courses</t>
  </si>
  <si>
    <t>Population, Space and Place</t>
  </si>
  <si>
    <t>intimacy; mobility; place; time; transition; transnational; youth</t>
  </si>
  <si>
    <t>Transnational mobility is increasingly presented to middle-class youth globally as a way to secure economic futures in precarious times by enhancing educational and employment opportunities. However, little is said about the benefits and impacts of mobility for social and intimate life and specifically how it is situated within, disruptive of, or incorporated into young people's ideas about relationships as they navigate uncertain pathways to adulthood. This paper critically reviews and integrates migration and youth studies scholarship to consider how contemporary youth mobility can be understood as disrupting standard migration- and life-course conventions about intimate relationships. It focuses particularly on questions of temporality, proximity and synchronicity or orthodoxies of ‘the right time’ and ‘the right place’ to ‘settle down’, in the construction and maintenance of both intimate connections to people and attachments to places. It explores how contemporary youth mobility can be seen to complicate notions of the appropriate staging and chronology for establishing different relationships. It raises questions about synchronicity, continuity and proximity as conditions of intimacy and considers how mobility potentially disrupts gendered and heteronormative life courses to provide both welcome freedoms and new challenges, as well as the emergence of new processes of transnational intergenerational care circulation. © 2020 John Wiley &amp; Sons, Ltd.</t>
  </si>
  <si>
    <t>10.1002/psp.2357</t>
  </si>
  <si>
    <t>Harris A.; Raffaetà R.</t>
  </si>
  <si>
    <t>Migrant youth ‘between mobilities’: Sessility as a working concept</t>
  </si>
  <si>
    <t>Conventionally, young people today are seen to be benefited by opportunities for mobility and disadvantaged by staying in place. We seek to advance critiques of this binarism by exploring the mobility and attachment aspirations and experiences of the 1.5 generation: those who migrate as children accompanying their parents. Building on calls to better understand the complexity of both mobility and staying in place for migrant youth, we analyse the experience and aspirations of a young Italian woman of Indian background who finds herself ‘between mobilities’, navigating her life amidst her parents’ migration and settlement plans and her own aspirations for both mobility and emplaced belonging. We introduce the concept of ‘sessility’, taken from plant biology, to explore how forms of mobility and agency can be enacted in place, depending on the extent to which the environment supports capacities and aspirations. © 2021 The Authors. Global Networks published by Global Networks Partnership and John Wiley &amp; Sons Ltd.</t>
  </si>
  <si>
    <t>10.1111/glob.12320</t>
  </si>
  <si>
    <t>Harvey, Kyle E.</t>
  </si>
  <si>
    <t>“Because That’s What His Consul Had Ordered”: The Chilean Consulate as a Labor Institution in Mendoza, Argentina (1859-1869)</t>
  </si>
  <si>
    <t>Historia Crítica</t>
  </si>
  <si>
    <t>Argentina; Chile; class; consulate; nineteenth century; transnational</t>
  </si>
  <si>
    <t>Abstract. Objective/Context: This article examines the place of the Chilean consulate in conflicts related to control over labor in western Argentina during the 1860s, a decade of national consolidation and economic expansion. It explores how changes in the laboring classes’ experiences and interests in the mid-nineteenth century expressed themselves through the Chilean consulate and the meaning of being Chilean. Methodology: Using consular records, foreign relations records, and criminal records, it analyzes how Chilean laborers-and Argentines claiming to be Chilean-petitioned the consulate to protect them from military conscription and labor abuses. Originality: While transnational labor migrations feature more prominently in histories of the late-nineteenth and early twentieth centuries than in those on the post-independence period, this article adds to understandings of the end of the post-independence period through such migrations and the institutions that supported them. Conclusions: By focusing on the interaction of laborers and the Chilean consulate, this article makes the case for a correlation between non-European transnational labor migrations and the development of a sense of political belonging distinct from republicanism, patriotism, or civic participation, and one that sought exclusion from the obligations of society and one decidedly more oriented towards notions of class and nationality.</t>
  </si>
  <si>
    <t>80</t>
  </si>
  <si>
    <t>10.7440/histcrit80.2021.05</t>
  </si>
  <si>
    <t>Hasson III, Robert G.; Labella, Bianca; Diaz-Valdes, Antonia; Underwood, Dawnya</t>
  </si>
  <si>
    <t>Family Stabilization Services for Unaccompanied Children in the United States</t>
  </si>
  <si>
    <t>FAMILIES IN SOCIETY-THE JOURNAL OF CONTEMPORARY SOCIAL SERVICES</t>
  </si>
  <si>
    <t>unaccompanied children; family interventions; family/families; family systems and functioning; subjects of practice; immigration and refugee issues; migration</t>
  </si>
  <si>
    <t>Unaccompanied children are a growing and vulnerable population of immigrants who are arriving to the United States in increasing numbers, mostly from Central American countries such as El Salvador, Guatemala, and Honduras. This study examines sociodemographic factors associated with unaccompanied children requiring family stabilization services as their primary need upon arrival to the United States. The sample includes children who received post-release services from nonprofits throughout the United States (n = 851). Logistic regression analyses reveal that children from Honduras (p &lt; .05) and children who are placed with their fathers, compared with other sponsor types such as mothers or siblings (p &lt; .001), have greater odds of requiring family stabilization services as their primary need. In addition, older children have lower odds of requiring family stabilization services as their primary need (p &lt; .001). The study includes implications for practice and future research.</t>
  </si>
  <si>
    <t>10.1177/10443894231186194</t>
  </si>
  <si>
    <t>Hasson, Robert G., III; Diaz-Valdez, Antonia; Underwood, Dawnya</t>
  </si>
  <si>
    <t>Mental Health Services for Unaccompanied Children in the United States</t>
  </si>
  <si>
    <t>Immigration; Migration; Unaccompanied Children; Mental Health</t>
  </si>
  <si>
    <t>Unaccompanied children (UC) are a vulnerable group of immigrants who arrive to the United States (US) without parents or caregivers, and experience various losses and traumatic stress before, during, and after their migration to the US. This cross-sectional study examines factors associated with reporting mental health services as a primary need in a sample of UC in 2019 (n = 851). Results show that older UC and UC from Honduras have higher odds of reporting mental health services as a primary need, and male UC, compared to female UC, have lower odds of reporting mental health services as a primary need.</t>
  </si>
  <si>
    <t>10.1080/15325024.2022.2141515</t>
  </si>
  <si>
    <t>Hawkins C.; Haapio-Kirk L.</t>
  </si>
  <si>
    <t>Bringing Ageing to Life: A Comparative Study of Age Categories</t>
  </si>
  <si>
    <t>Anthropology and Aging</t>
  </si>
  <si>
    <t>Ageing; Comparative; Japan; Life course; Migration; Technology; Uganda</t>
  </si>
  <si>
    <t>This article offers a comparative ethnographic study of ageing as both category and experience. Drawing on simultaneous 16-month ethnographies conducted as part of the ASSA project, we focus on how ageing is being re-defined in eight contexts around the world, with particular focus on the authors’ field sites: rural and urban settings in both Japan and Uganda. Despite being among the world’s oldest and youngest populations, respectively, there are various affinities in both ethnographies of age and technology use related to the reconfiguration of family-care norms across distances. This shared finding informs the articulation of age categories, which we found to be negotiated in line with established intergenerational expectations and family roles. This paper is illustrated with ethnographic examples of how people redefine ageing in context and in turn bring ‘age’ to life, demonstrating the social significance of age categories. © 2023, University Library System, University of Pittsburgh. All rights reserved.</t>
  </si>
  <si>
    <t>10.5195/aa.2023.480</t>
  </si>
  <si>
    <t>Hayes J.E.</t>
  </si>
  <si>
    <t>Mediating Nostalgia: The Meaning of Ranchera Music at a Mexican Community Radio Station</t>
  </si>
  <si>
    <t>Communication, Culture and Critique</t>
  </si>
  <si>
    <t>Community Radio; Migration; Nostalgia; Radio Zapotitlán; Ranchera Music</t>
  </si>
  <si>
    <t>This study investigates a battle over music and identity at Radio Zapotitlán, a community radio station in the state of Jalisco, Mexico. An analysis of over 20 interviews with station organizers, volunteers and listeners conducted in 2009 and 2010 indicates that while organizers and older listeners celebrated Ranchera music as the station's predominant musical content, younger listeners fought to broadcast contemporary Banda music. An historical and theoretical analysis of Ranchera music explores its cultural role in mediating experiences of migration and nostalgia. This study finds that Radio Zapotitlán organizers promoted Ranchera music in order to engage the national and transnational nostalgia of Zapotitlán's displaced migrants, and to meet the expectations of government regulators and transnational nongovernmental organizations (NGOs). It concludes that local, regional, national and transnational interests cannot be disentangled in musical articulations of identity at Radio Zapotitlán.  © 2020 The Author(s) 2020. Published by Oxford University Press on behalf of International Communication Association. All rights reserved. For permissions, please e-mail: journals.permissions@oup.com.</t>
  </si>
  <si>
    <t>10.1093/ccc/tcaa004</t>
  </si>
  <si>
    <t>Haynes, Nell; Wang, Xinyuan</t>
  </si>
  <si>
    <t>Making migrant identities on social media: a tale of two neoliberal cities on the Pacific Rim</t>
  </si>
  <si>
    <t>MEDIA CULTURE &amp; SOCIETY</t>
  </si>
  <si>
    <t>Asia; Latin America; migration; neoliberalism; Pacific; social media</t>
  </si>
  <si>
    <t>The copper mining city of of Alto Hospicio, Chile and GoodPath town, a factory city in China both seem to be archetypal neoliberal cities. They epitomize the circulation of goods, people, and ideas through their export-based economies, large migrant populations, and high penetration of Internet and social media use. Yet, we find that in migrants' social media use, there are stark contrasts in the significance they place on their movement and the identities they form around these migrations. In China, factory workers take to the 'online world' to escape harsh realities and engage in identity formations that privilege cosmopolitan aspirations. In Chile, mining workers express the harshness of their lived reality, using social media to build identities around a sense of pride in their abrasive conditions. This comparative essay reveals how processes associated with neoliberal capitalism - including migrations of people, goods, and information, and the commodification of identities - is preconditioned by local contexts. We find that the processes of neoliberal capitalism sometimes yield starkly different consequences, even when local circumstances seem to be similar. This demonstrates that even as media (and particularly social media) connect people more closely, their effects are anything but homogenizing.</t>
  </si>
  <si>
    <t>10.1177/0163443719884060</t>
  </si>
  <si>
    <t>Hedrera-Manara L.; Íñiguez-Rueda L.</t>
  </si>
  <si>
    <t>Migrant childhoods and memories in Barcelona: recollections of violence; [Memorias e infancias migradas en Barcelona: recuerdos sobre violencias]</t>
  </si>
  <si>
    <t>agency; Barcelona; cartography; childhood; migration; social memory; violence</t>
  </si>
  <si>
    <t>The memories of boys and girls who migrate contain past and present experiences of countries of origin and destination, as well as experiences of movement. This paper presents the results of research that aims to identify how migrant children’s memories are constructed around experiences of violence and practices of agency. From the perspective of the new social studies of childhood and based on a field study in the city of Barcelona, it shows that in various spaces violence is conditioned by a web of power relations and vectors of differentiation (ethnicity, gender, nationality, age). It concludes that these memories strain the conception of violence against children as an individual, domestic/private problem, and generate meanings that facilitate agency for such childhoods in the present, going beyond vulnerability and subordination. © 2023,Revista CIDOB d''Afers Internacionals. All Rights Reserved.</t>
  </si>
  <si>
    <t>10.24241/rcai.2023.133.1.183</t>
  </si>
  <si>
    <t>Heidrich L.; Karakaşoğlu Y.; Mecheril P.; Shure S.</t>
  </si>
  <si>
    <t>Regimes of Belonging - Schools - Migrations: Teaching in (Trans)National Constellations</t>
  </si>
  <si>
    <t>Bildlungspolitik; Bildungssysteme; Erziehungswissenschaft; Ethnicity in Education; Forschung; Identität; Interkulturelle; Lehrerbildung; Macht; Migration; Migrationsbewegung; Migrationsgesellschaft; Pädagogik; Schule; Tansnationalität; Zugehörigkeit</t>
  </si>
  <si>
    <t>This edited volume aims to critically discuss in how far the national orientation of schools and teacher education is appropriate in light of increasing migration and transnationality. The contributions offer ideas from teacher education research and school pedagogical practice in different nation-state contexts such as Austria, Canada, Chile, Greece, Israel, Japan, Switzerland, Turkey, the UK, and the USA. They ask which empirical and theoretical approaches are suitable for describing the phenomena of pedagogical-professional dealings with migration-related and transnational demands on schools. In raising this question, they do not reduce the analytical focus on migrants, their migration paths, actions or attitudes. Instead, the authors analyse the global interconnectedness and entanglements - each embedded in their specific national and global societal power structures and hierarchical relationships - and the country-specific and transnational structures and contextual conditions of schools and teacher education. © Springer Fachmedien Wiesbaden GmbH, part of Springer Nature 2021. All rights reserved.</t>
  </si>
  <si>
    <t>10.1007/978-3-658-29189-1</t>
  </si>
  <si>
    <t>Hein, Kerstin</t>
  </si>
  <si>
    <t>MIGRACIÓN Y TRANSICIÓN: HIJOS DE INMIGRANTES DE ORIGEN LATINOAMERICANO EN SU TRANSICIÓN DE LA ESCUELA AL TRABAJO EN CHILE</t>
  </si>
  <si>
    <t>Children of immigrants; social and cultural integration; transition</t>
  </si>
  <si>
    <t>The following article presents the results of a study that explored how children of Latin American immigrants in Chile experience, perceive and manage their transition from school to work. The study was based on biographical narrative interviews and qualitative evaluations of social networks of 13 children of Latin American parents living in Chile. The participants were first contacted during their final year of secondary school, and they were interviewed again one year after completing school. The results discussed in this article include the migration process of the interviewees, their cultural integration and their perception of cultural distance. Results regarding the social integration and discrimination experiences that affect these young people within the school system are also addressed. Finally, the evolution of all of these issues one year after the participants completed secondary education is presented.</t>
  </si>
  <si>
    <t>Henríquez S.S.; Rodríguez C.C.; Mendoza K.R.M.</t>
  </si>
  <si>
    <t>The school as a space for the recognition of the cultural heritage of children who have migrated; [La escuela como espacio para el reconocimiento del patrimonio cultural de niños y niñas que han migrado]</t>
  </si>
  <si>
    <t>Estudios Pedagogicos</t>
  </si>
  <si>
    <t>Heritage; Identity; Inclusion; Interculturality; Migration; Recognition</t>
  </si>
  <si>
    <t>Children whose families have migrated are introduced into dominant cultural forms, without giving them the opportunity to contribute their own, ignoring the contribution they could make in promoting schools that are more inclusive. From this perspective, the work aims to: (1) analyze the concept of cultural heritage by problematizing the different rationales that underlie its understanding in the educational field; (2) provide elements of reflection on identity and recognition from education in cultural heritage and (3) propose lines of action for work on cultural heritage in schools. To meet these objectives, we conducted a literature review of specialized literature. The results highlighted the role of "cultural bearers" in identifying the cultural heritage of migrant children, the need to train teachers in skills that allow them to interpret intercultural learning contexts and the need to create bridges between themselves and others, and between the common and the different to favor practices that are more inclusive. © 2020 Universidad Austral de Chile.</t>
  </si>
  <si>
    <t>10.4067/S0718-07052019000300387</t>
  </si>
  <si>
    <t>Henriquez, Diego; Urzua, Alfonso; Lopez-Lopez, Wilson</t>
  </si>
  <si>
    <t>Indicators of Identity and Psychological Well-Being in Immigrant Population</t>
  </si>
  <si>
    <t>psychological well-being; group identity; ethnic identity; identity fusion; migrants</t>
  </si>
  <si>
    <t>Multiple research has indicated that group identity processes are critical to understanding the dynamics of psychological well-being linked to migration. However, few studies have analyzed the relationship between identity from different theoretical perspectives, and the mental health of migrants in the Latin-American context. Therefore, the purpose of this study was to analyze the relationship between several identity indicators such as ethnic identity, collective self-esteem, identity fusion (with the country of origin and the host country) simultaneously, and different dimensions of psychological well-being of Colombian migrants living in Chile. The sample consisted of 887 Colombian migrants, of whom 435 (49%) were men and 452 (51%) were women. Participants were residents of the cities of Arica (n=204; 23%), Antofagasta (n=469; 52.9%), and Santiago (n=214; 24.1%) in Chile. The results revealed by structural equation modeling indicate that collective self-esteem and ethnic identity show positive relationships with almost all dimensions of psychological well-being, while identity fusion with Colombia only showed a positive relationship with the dimension positive relationships and identity fusion with Chile only showed a positive relationship with the dimension autonomy. Implications and limitations of these results are discussed at the end.</t>
  </si>
  <si>
    <t>10.3389/fpsyg.2021.707101</t>
  </si>
  <si>
    <t>Social Support as a Mediator of the Relationship between Identity Fusion and Psychological Well-Being in South-South Migrant Populations</t>
  </si>
  <si>
    <t>Social support; Identity fusion; Psychological well-being; Immigrants; Venezuelan</t>
  </si>
  <si>
    <t>The present study provides evidence of how perceived social support is a mechanism by which identity fusion with the country of origin is associated with psychological well-being in a migrant population. The study design was cross-sectional. We use intentional sampling based on the accessibility of the participants and using the snowball strategy through an online survey. This study included 323 Venezuelan migrants, of whom 176 (54.5%) were women, all residents of the city of Santiago, Chile. The variables assessed were perceived social support, identity fusion, and psychological well-being. Structural equation modeling was used to estimate the proposed mediation model. The estimation method used was robust weighted least squares estimation. The estimated models indicated that perceived social support has a mediating effect on the positive relationship between identity fusion and psychological well-being of Venezuelan migrants residing in Chile. According to these results, feeling a sense of fusion with the country of origin and the perception of having sources of care and protection are factors that may help to improve the psychological well-being of Venezuelan migrants living in Chile. Implications and limitations of these results are discussed.</t>
  </si>
  <si>
    <t>10.1007/s12134-022-00996-5</t>
  </si>
  <si>
    <t>Satisfaction with life among Colombian migrants in Chile: the role of fusion identity and acculturation strategies</t>
  </si>
  <si>
    <t>SOCIAL IDENTITIES</t>
  </si>
  <si>
    <t>Life satisfaction; acculturation strategies; identity fusion; migration</t>
  </si>
  <si>
    <t>This study analyzes the relationship between identity fusion and acculturation strategies with life satisfaction in Colombian migrants in Chile. The sample consisted of 919 Colombian migrants, of whom 464 (50.5%) were women. Participants were residents of the cities of Arica (n = 219; 23.8%), Antofagasta (n = 476; 51.8%) and Santiago (n = 224; 24.4%) in Chile. The variables assessed were Identity Fusion, Acculturation Strategies and Satisfaction with Life. Structural equation modeling using the robust weighted least squares estimation method was performed to estimate the proposed model. The results indicate that, identity fusion with Colombia was positively related to attitudes toward the country of origin and life satisfaction but was negatively related to attitudes toward the host country. On the other hand, identity fusion with Chile was only positively related to attitudes toward the host country. Finally, attitudes towards the country of origin presented indirect effects between identity fusion with Colombia and Satisfaction with life. We conclude that the developing a visceral feeling of union with the country of origin could explain a better evaluation of one's own life, this relationship being mediated by attitudes oriented to maintaining the characteristics of the country of origin. Developing a visceral feeling of attachment to the host country was only associated with adopting characteristics of the host country culture. Implications and limitations of these results are discussed.</t>
  </si>
  <si>
    <t>10.1080/13504630.2023.2249418</t>
  </si>
  <si>
    <t>Henríquez, Diego; Urzúa, Alfonso; López, Wilson</t>
  </si>
  <si>
    <t>Fusión de identidad en migrantes: análisis psicométrico de la escala verbal</t>
  </si>
  <si>
    <t>Suma Psicológica</t>
  </si>
  <si>
    <t>Identity fusion; migration; identity; psychometrics</t>
  </si>
  <si>
    <t>Abstract The objective of the present investigation is to analyze the psychometric properties of the verbal identity fusion scale proposed by Gómez et al. (2011), in a sample of Colombian migrants residing in three different cities in Chile. Sampling was for convenience and 959 participants were surveyed. 49.3% were men and 50.7% were women, with an average age of 35.46 years (SD=10.23). Reliability estimates, confirmatory factor analyzes and structural equations model were made. The results give evidence of a good adjustment of the bifactorial scale structure (RMSEA=.069; CFI=.979; TLI=.960), with adequate estimated levels of reliability (connection: α =.92; ω =.93; reciprocal force: α =.92; ω =.92). In addition, we prove that the scale is positively related to two other identity variables: Importance of the Collective Identity subscale of the Luhtanen &amp; Crocker Collective Self-Esteem Scale (1992), and an ad hoc scale constructed from some elements of the scale of Ethnic Identity validated by Smith (2002) in Costa Rica. Finally, it is concluded that the scores of the identity fusion scale have sufficient evidence to support its use in research on the Colombian migrant population in Chile.</t>
  </si>
  <si>
    <t>10.14349/sumapsi.2019.v26.n2.4</t>
  </si>
  <si>
    <t>Hernández F.D.M.</t>
  </si>
  <si>
    <t>Latin Americans in London: Language ideologies and discourses of migration</t>
  </si>
  <si>
    <t>Latin Americans in London: Language Ideologies and Discourses of Migration</t>
  </si>
  <si>
    <t>Discourse; Identity; Latin America; Migration</t>
  </si>
  <si>
    <t>This book explores the life stories of Latin American immigrants living in London. Through a critical analysis of their discourses in various contexts, this book provides insights into representations of migration and processes of exclusion among co-ethnics. Ideologies of language, neoliberalism and social class intersect with such constructs as gender, race and ethnicity as the participants categorise other Latin Americans and themselves in the social spaces that they have cohabitated. It is a timely work for those interested in the history of Latin America, its people in diaspora, social inequality and the interrelationship between language and identity in a context of mobility. © 2023 Walter de Gruyter GmbH, Berlin/Boston. All rights reserved.</t>
  </si>
  <si>
    <t>10.1515/9783110987973</t>
  </si>
  <si>
    <t>Hernández Flores J.Á.; Rappo S.</t>
  </si>
  <si>
    <t>Reproductive strategies and social capital formation in migration and peri-urban contexts. An analysis from the perspective of Pierre Bourdieu; [Estrategias reproductivas y formación de capital social en contextos migratorios y periurbanos. Un análisis desde la perspectiva de Pierre Bourdieu]</t>
  </si>
  <si>
    <t>Estudios Demograficos y Urbanos</t>
  </si>
  <si>
    <t>Migration; Peri-urban; Reproductive strategies; Social capital</t>
  </si>
  <si>
    <t>This article draws on the notion of social capital, developed by Pierre Bourdieu, to examine the role of social practices designed to build such capital in shaping the reproductive strategies of domestic groups living in migration and peri-urban contexts.The case studies described are used to analyze the main forms of accumulating social capital, their principles of activation, and their impact on the family and community spheres, as well as changes that have taken place as a result of the conurbation process and the intensification of the migratory phenomenon.</t>
  </si>
  <si>
    <t>10.24201/edu.v31i3.10</t>
  </si>
  <si>
    <t>Hernandez, Graciela</t>
  </si>
  <si>
    <t>I would always be working. Mapuche women's testimonies on work and migration in an oral history Project in adult literacy (Bahia Blanca 1995-2019)</t>
  </si>
  <si>
    <t>REVISTA TEFROS</t>
  </si>
  <si>
    <t>migration; mapuche women; pastoral work; gender</t>
  </si>
  <si>
    <t>In this work, we transcribe and analyse testimonies of Mapuche women who migrated from Chile or from the provinces of Rio Negro and Neuquen to Bahia Blanca, from the end of the 1950s to the beginning of the 1980s. We work with them in an adult primary school which has annexes in different places of the city, and at Municipal Adult Literacy Centers. In these spaces we carry out oral history workshops. By working with remembrances and memories, we aimed at promoting the exchange of lived experiences, favouring group dialogue, and fostering the ability of reading and writing out of their own reading and writing on what they know. These workshops were held between 1995 - 2011. In 2019, with a Mapuche intellectual and militant, we reread these oral accounts from which we selected the subject of this article. First of all, we point out the memories of the work of women as shepherds of sheep and goats, and, to a lesser extent, the work of shearing in the family environment. Secondly, we focus on the women's work when they migrated and when they were already settled in Bahia Blanca. From the theoretical perspectives of non-hegemonic feminisms, we aim at analysing the meanings of the registered testimonies by identifying the nodal points or axes of experience organisation within the collected material.</t>
  </si>
  <si>
    <t>Herrera-Benavides J.; Pfeiffer M.; Galleguillos M.</t>
  </si>
  <si>
    <t>Land subdivision in the law's shadow: Unraveling the drivers and spatial patterns of land subdivision with geospatial analysis and machine learning techniques in complex landscapes</t>
  </si>
  <si>
    <t>Landscape and Urban Planning</t>
  </si>
  <si>
    <t>Kernel analysis; Land subdivisions; Machine learning; Parcelization</t>
  </si>
  <si>
    <t>Land subdivisions, especially in rural areas, pose a significant threat to sustainable development in many regions of the world. This issue is particularly challenging to understand in complex landscapes, where many biophysical and anthropic drivers interact without the necessary land regulatory guidance. We combined kernel density analysis and machine learning modeling to unravel the spatial patterns of land subdivisions and the complex relationships between their drivers. We used the Los Lagos region in southern Chile as a study case because it is a global biodiversity hotspot where land subdivisions are constantly increasing. We identify a significant increasing trend of subdivisions. Our modeling approach showed robust performance with an R2 of 0.727, RMSE of 5.109, and a bias of −0.009. The proximity to urban areas, to the coast, distance to electric mains, demographic structure, and proximity to protected areas were significant predictors of land subdivision. Fertile lands, particularly those near urban centers, have become prime targets for subdivisions, exacerbating the conflict between urban development and agricultural sustainability. We highlight the increasing number of subdivisions on threatened ecosystems and highly productive soils. We discuss the interrelationship between the drivers and conclude that subdivision is primarily associated with conventional urban sprawl, although other urbanization phenomena could also be observed in some areas. These findings provide challenges and opportunities for global spatial planning and harmony with biodiversity conservation. © 2024 Elsevier B.V.</t>
  </si>
  <si>
    <t>10.1016/j.landurbplan.2024.105106</t>
  </si>
  <si>
    <t>Herrera, Mario; Morales, Mauricio</t>
  </si>
  <si>
    <t>Electoral turnout of foreign-born residents in Chile: an analysis with data from the administrative census and opinion polls</t>
  </si>
  <si>
    <t>Based on an administrative census of the 267,116 migrants registered for the 2017 presidential elections and a survey applied to 4771 migrants, we conclude that (1) the electoral participation of migrants shows a significant gender gap, with women participating in a higher proportion; (2) migrants who registered earlier in the electoral registers, are more likely to vote compared to the rest; (3) when migrants come from countries that implement compulsory voting, they increase their likelihood of voting in the receiving country; (4) the declaration of wanting to remain in Chile and not return to their countries of origin or migrate to another country increases the probability of voting, and the same happens with married migrants, with Chilean children, with a Chilean partner, and with a better economic situation; (5) social capital has a positive influence on electoral participation.</t>
  </si>
  <si>
    <t>10.1111/imig.13208</t>
  </si>
  <si>
    <t>Hidalgo Dattwyler, Rodrigo; Vergara Constela, Carlos; Gonzalez Rodriguez, Miguel Felipe</t>
  </si>
  <si>
    <t>The north door of the Chilean dream. Border city, migrant settlement and precariopolis in Arica, Chile</t>
  </si>
  <si>
    <t>ESTUDIOS FRONTERIZOS</t>
  </si>
  <si>
    <t>border city; migrations; precariousness; Cerro Chuno</t>
  </si>
  <si>
    <t>An analysis of Arica (Chile) is presented as a border city. It aims to describe and analyze the migratory mobility of the city of Arica and the settlements where the migrant population resides, a discussion centered on Latin American bibliography on border cities, mobility, migration and human settlements is proposed, where we resort to the categories of the ghetto and precarious city. Data production techniques were applied combining statistical production from official sources together with observation and documentary analysis. The results show that the migrant population is mainly Peruvian, Bolivian and tends to be in three large areas of the city: north, south and valley of Azapa. It is specifically investigated in the case of Cerro Chuno, which is problematized as a migrant settlement, discussing the expression of ghetto and precarious city.</t>
  </si>
  <si>
    <t>e070</t>
  </si>
  <si>
    <t>10.21670/ref.2107070</t>
  </si>
  <si>
    <t>Hidalgo, Rodrigo; Santana Rivas, Luis Daniel; Haller, Andreas; Borsdorf, Axel</t>
  </si>
  <si>
    <t>Dystopian utopia between mountain and the sea? Second-home production along the Coastal Cordillera of Central Chile 1992-2012</t>
  </si>
  <si>
    <t>ERDE</t>
  </si>
  <si>
    <t>real estate; metropolization; elitization; amenity migration; Chile; Valparaiso; Santiago de Chile</t>
  </si>
  <si>
    <t>In recent decades, the expansion of the metropolitan areas in Central Chile has produced numerous forms, structures and functions. The amenities of the local environment and culture have been used to promote a utopia for future residents, including people interested in second homes. However, in many cases the migrants have suffered frustrations. They have found a dystopia instead of the promised utopia. By intensifying the metropolization of Central Chile, the real-estate sector has produced spaces similar to those from which the migrants hoped to escape. Pristine environments were transformed into polluted areas, suffering from rapid urbanization, noise, rubbish and an overload of visitors. In this paper, we analyse the socio-economic impact and the perception of real-estate development. Many of the new apartments, flats and houses are used as second homes, introducing and enhancing new forms of multilocality. The infrastructure is designed for full occupation, yet during many periods of the year it is not used, and those who live there all year round seem lost in large areas devoid of life.</t>
  </si>
  <si>
    <t>10.12854/erde-148-28</t>
  </si>
  <si>
    <t>Hirsch S.</t>
  </si>
  <si>
    <t>Chilean exiles, reconciliation and return: An alternative view from below</t>
  </si>
  <si>
    <t>Chilean exile; Reconciliation; Return</t>
  </si>
  <si>
    <t>This is an article on the disjuncture between memories in exile and the actualityof return, through a case study of Chilean exile returnees. It will be demonstratedthat 'diaspora involvement' can be contradictory within political transitions;the case of Chile demonstrates no unifying political route within thediaspora. Moreover, it will be argued that the context in which a diasporareturns is crucial to an understanding of this journey and resettlement. Thearticle will discuss the negotiation of an exile past with the new realities ofChilean society based on a 'pacted transition'. The nature of the Chilean transition,centred on political reconciliation without legal justice, deeply impingedon the returnee experiences explored within this article, intensifying feelings of a'second exile'. The article therefore offers an alternative view from below,ignored within much of the existing literature. © The Author 2015.</t>
  </si>
  <si>
    <t>10.1093/jrs/fev012</t>
  </si>
  <si>
    <t>Hoerder D.; Kaur A.</t>
  </si>
  <si>
    <t>Proletarian and gendered mass migrations: A global perspective on continuities and discontinuities from the 19th to the 21st centuries</t>
  </si>
  <si>
    <t>Proletarian and Gendered Mass Migrations: A Global Perspective on Continuities and Discontinuities from the 19th to the 21st Centuries</t>
  </si>
  <si>
    <t>Africa; Americas; Asia; Europe; Gender; Labor; Labour; Migration; Transcultural; Worker; Working Class; Working-class; Worldwide</t>
  </si>
  <si>
    <t>Proletarian and Gendered Mass Migrations connects the 19th- proletarian and the 20th-and 21st-century domestics and caregiver labor migrations and migration systems in global transcultural perspective. It integrates male and female migrations and employs a systems approach with human agency perspectives. © 2013 by Koninklijke Brill NV, Leiden, The Netherlands. All rights reserved.</t>
  </si>
  <si>
    <t>10.1163/9789004251380</t>
  </si>
  <si>
    <t>Holzmann R.; Koettl J.</t>
  </si>
  <si>
    <t>Portability of pension, health, and other social benefits: Facts, concepts, and issues</t>
  </si>
  <si>
    <t>CESifo Economic Studies</t>
  </si>
  <si>
    <t>Acquired rights; Bilateral agreements; Individual accounts; Labor mobility; Migration</t>
  </si>
  <si>
    <t>Portability of social benefits across professions and countries is an increasing concern for individuals and policy makers. Lacking or incomplete transfers of acquired social rights are feared to negatively impact individual labor market decisions as well as capacity to address social risks with consequences for economic and social outcomes. The paper gives a fresh and provocative look on the international perspective of the topic that has so far been dominated by social policy lawyers working within the framework of bilateral agreements; the input by economists has been very limited. It offers an analytical framework for portability analysis that suggests separating the risk pooling, (implicit or actual) pre-funding, and redistributive elements in the benefit design, and explores the proposed alternative approach for pensions and health care benefits. This promising approach may serve both as a substitute and complement to bi- and multilateral agreements. © The Author 2014.</t>
  </si>
  <si>
    <t>10.1093/cesifo/ift017</t>
  </si>
  <si>
    <t>Hoogesteger J.; Rivara F.</t>
  </si>
  <si>
    <t>Linking Institutions for Collective Action to Agrarian Change: Insights from Transformations in an Irrigation Community, Central Mexico</t>
  </si>
  <si>
    <t>International Journal of the Commons</t>
  </si>
  <si>
    <t>commons; ejido; land and water accumulation; Mexico; migration; rural transformations</t>
  </si>
  <si>
    <t>In commons studies, broad attention has been given to understanding how and why natural resource management systems function through institutions for collective action. However, little attention has been given to how agrarian change impacts institutions for collective action and related resource access. In this paper we address this gap through the case study of a groundwater irrigation community in the northeast of the state of Guanajuato, Central Mexico. In a context of neoliberally induced agrarian change, over the last two and a half decades, in this community a few producers with capital acquired through international migration and remittances have accumulated access to land and water. This accumulation has gone hand in hand with the transformation of production to the high value agro-export crop asparagus and the creation of a cooperative for the collective production and marketization of the crop. We show that the irrigation community has proven institutionally robust in the midst of agrarian change because it was able to adapt to, and enable, this productive transformation. At the same time, we also show that this process led to the accumulation of access to land and water by a few irrigators and that the irrigation community is now composed of a very different and smaller group of users/producers. These results imply that processes of agrarian change, transformations in access to productive resources, and the adaptation and resilience of institutions for collective action are deeply intertwined and interdependent. © 2023 The Author(s).</t>
  </si>
  <si>
    <t>10.5334/ijc.1199</t>
  </si>
  <si>
    <t>Horn V.</t>
  </si>
  <si>
    <t>Migrant family visits and the life course: interrelationships between age, capacity and desire</t>
  </si>
  <si>
    <t>AGEING; MIGRATION AND MOBILITY; TRANSNATIONAL FAMILIES; TRANSNATIONAL SOCIAL RELATIONS; TRANSNATIONALISM</t>
  </si>
  <si>
    <t>Migrant visits to the country of origin play a crucial role in transnational family cohesion and migrant well-being; the research on them so far has focused primarily on the relationship between migrant integration and transnational engagement. In this article, I extend the discussion by adding a life course perspective to Carling and Hoelscher's (2013) framework for studying transnational activities, which incorporates capacity and desire. I explore whether age has an independent effect on migrants' family visits and how it relates to socio-economic resources, migration status and transnational ties. Using data from a survey of Peruvian migrants around the globe (n=7,741), I show that migrants' stage in the life course has a partial effect on their propensity to travel through the interrelationship between age, capacity and desire. The findings show that the capacity and desire of migrants to visit their country of origin are particularly strong after reaching retirement age, suggesting a favourable combination of resources at later stages in life. However, whether this expresses a positive approach to ageing, or is a strategy to balance transnational family obligations and to postpone return decisions, remains open for future research. © 2017 The Author(s) Global Networks © 2017 Global Networks Partnership &amp; John Wiley &amp; Sons Ltd</t>
  </si>
  <si>
    <t>10.1111/glob.12154</t>
  </si>
  <si>
    <t>Horn V.; Fokkema T.</t>
  </si>
  <si>
    <t>Transnational ties: Resource or stressor on Peruvian migrants' well-being?</t>
  </si>
  <si>
    <t>migration; Peru; resource hypothesis; stress hypothesis; transnational ties; well-being</t>
  </si>
  <si>
    <t>This paper explores the role of types and the intensity of transnational ties for migrants' well-being from a global perspective. Based on a literature review, two competing hypotheses are formulated—transnational resources versus transnational stress—according to which transnational ties have either a positive or a negative effect on migrants' well-being. Drawing on data from a large-scale survey of Peruvian migrants worldwide, this paper examines the strength and direction of the relationship between Peruvian migrants' transnational ties and poor well-being, the latter measured as depression/loneliness as a principal concern. While the multivariate regression results do not support the transnational resources hypothesis, partial support is found for the transnational stress hypothesis: more intense transnational ties are positively associated with poor well-being. Our study points the importance of considering transnational ties in research on migrants' well-being and indicates the relevance of developing adequate measurements and longitudinal research designs to explore the causal relationships between migrants' well-being and transnational ties. © 2020 The Authors. Population, Space and Place published by John Wiley &amp; Sons Ltd</t>
  </si>
  <si>
    <t>10.1002/psp.2356</t>
  </si>
  <si>
    <t>Huemer L.</t>
  </si>
  <si>
    <t>Corporate social responsibility and multinational corporation identity: Norwegian strategies in the Chilean Aquaculture Industry</t>
  </si>
  <si>
    <t>Journal of Business Ethics</t>
  </si>
  <si>
    <t>Chile; Corporate social responsibility; Multinational firms; Norway; Organizational identity</t>
  </si>
  <si>
    <t>This study brings an organizational identity perspective to the debate regarding corporate social responsibility (CSR) and multinational corporations (MNCs). The basic proposition is that organizational identities warrant closer attention since they influence CSR strategies. It is further argued that a more explicit distinction between principles and practices, or between 'being' and 'doing', is needed when debating whether multiple organizational identities are required for MNCs operating in locations characterized by different stakeholder demands. In terms of identity construction, two translation processes are suggested to be pertinent; from hypernorms to organizational principles and the translation of organizational principles to practices. The first translation is relevant since 'hypernorms' alone do not create the distinctiveness needed for an organizational identity to develop and the second translation helps in explaining the ability to endorse local contracts. © Springer 2010.</t>
  </si>
  <si>
    <t>SUPPL 2</t>
  </si>
  <si>
    <t>10.1007/s10551-010-0618-7</t>
  </si>
  <si>
    <t>Huerta P.V.; Rodríguez R.R.</t>
  </si>
  <si>
    <t>CRITICAL ANALYSIS OF THE PROCESS OF EXTRAORDINARY MIGRATORY (DES) REGULARIZATION IN CHILE (2018-2019); [ANÁLISIS CRÍTICO DEL PROCESO DE (DES)REGULARIZACIÓN MIGRATORIA EXTRAORDINARIA EN CHILE (2018-2019)*]</t>
  </si>
  <si>
    <t>Chile; Extraordinary regularization; Irregularity; Migration governance</t>
  </si>
  <si>
    <t>The public institutions in charge of migration governance construct the notions of citizenship and those considered “non-citizens”. From this perspective, the chilean administration has reconfigured its role. This reality is observed, for example, in the implementation of a series of policies carried out during 2018, which impose restrictive measures for the entry and stay of foreigners. Specifically, this work will focus particularly on the Extraordinary Immigration Regularization Process and its effects on the production of irregularity. All in all, the objective is to describe, from a qualitative and exploratory approach, the impact of these new measures on the regularity of migrants living in a border area located in the extreme north of Chile. Based on the foregoing, interviews with key informants and people who participated in the regularization process are analyzed. We conclude that, despite the positive recognition of the measure, its implementation was carried out with little information available, with problems for the communities by not allowing access to formal jobs and excessive delay in processing applications, which generated irregular immigration status and perpetuated precarious factors. © 2021. Dialogo Andino. All Rights Reserved.</t>
  </si>
  <si>
    <t>10.4067/S0719-26812021000300399</t>
  </si>
  <si>
    <t>Huete R.; Mantecón A.</t>
  </si>
  <si>
    <t>Political participation of British and German residents in Spain: The case of San Miguel de Salinas, Alicante; [La participación política de los residentes británicos y alemanes en España: El caso de San Miguel de Salinas, Alicante]</t>
  </si>
  <si>
    <t>Residential migrations; Residential tourism; Social fragmentation</t>
  </si>
  <si>
    <t>This study focuses on the northern European citizens living in the Alicante province (on Spain's Mediterranean coast), who are more like immigrants than tourists. This migration flow has become so significant that has brought about profound changes in many towns. Our objective is to examine the political role of these citizens in the regions where they are more present. Our analysis is based on demographic data and data on participation in the 2011 local election, as well as on a qualitative approach that delves into the informal processes of political participation. The fact that the influence of northern European residents on local political institutions has not grown at the same rate as their demographic weight is a consequence of both their lack of interest in public affairs and the interest of political elites in deactivating that participation.</t>
  </si>
  <si>
    <t>Hughes C.</t>
  </si>
  <si>
    <t>Conditional cash transfers and migration: Reconciling feminist theoretical approaches with the new economics of labor migration</t>
  </si>
  <si>
    <t>Conditional cash transfers; Family; Gender; Migration; New Economics of Labor Migration</t>
  </si>
  <si>
    <t>In 2019, I published a study titled “Reexamining the Influence of Conditional Cash Transfers on Migration from a Gendered Lens,” to which Oded Stark has since issued a formal comment. This response has been written to address the major themes of Stark’s comment. While the first three sections focus on specific items related to framing, selection bias, and endogeneity, the fourth and final section tackles a more substantive theoretical debate between Stark and me over how to conceptualize the New Economics of Labor Migration framework in relation to gender. In my original paper, I argued that conditional cash transfers (CCTs) are gendered in their program conditions in ways that promote a normative gendered division of labor and that constrain beneficiary women from migrating. I note here that Stark’s primary issue with this point appears to be his contention that CCTs are not necessarily gendered but rather that women have a comparative advantage in completing housework and care work. My response first compares Stark’s argument to that made by Gary Becker in A Treatise on the Family and engages with the literature that has emerged to critique Becker’s own arguments regarding gendered comparative advantage. I then conclude my final section by offering some suggestions that might open a common theoretical path forward—one that insists on grounding microeconomic analyses of family behavior on assumptions that take gender and other aspects of culture and institutions seriously and one that also moves toward a bargaining model of microeconomic behavior rather than one that assumes consensus among all relevant actors. © 2021 The Author.</t>
  </si>
  <si>
    <t>10.1215/00703370-8928494</t>
  </si>
  <si>
    <t>Reexamining the Influence of Conditional Cash Transfers on Migration From a Gendered Lens</t>
  </si>
  <si>
    <t>Antipoverty; Conditional cash transfers; Gender; Migration; Women’s empowerment</t>
  </si>
  <si>
    <t>Past research on the influence of conditional cash transfers—widespread antipoverty programs—on migration has tended to focus on beneficiaries as a homogenous unit. Drawing on feminist critiques of the contemporary international antipoverty agenda, this article views both conditional cash transfer programs and migration patterns from a gender-sensitive lens. Conditional cash transfers rely on a gendered division of labor in which the informal work of women is particularly called upon in order to fulfill program requirements. This work contends that conditional cash transfers emphasize gender responsibilities for women as mothers and caretakers, which mark their belonging in the domestic sphere and limit the likelihood of their migration while making no such demands on beneficiary men or nonbeneficiaries. Using logistic and multinomial logistic regression models and data from the Mexican Family Life Survey, the analysis finds evidence supporting the hypothesis that conditional cash transfer participation disproportionately limits migration for beneficiary women. This study broadly argues that the impact of such antipoverty programs is more gendered than previously thought and emphasizes the importance of examining previously studied outcomes in ways that consider the specific subject locations of recipients in order to better understand both the logics underlying development policy and the process of migration itself. © 2019, Population Association of America.</t>
  </si>
  <si>
    <t>10.1007/s13524-019-00815-0</t>
  </si>
  <si>
    <t>Huijsmans R.</t>
  </si>
  <si>
    <t>Exploring the "age question" in research on young migrants in Southeast Asia</t>
  </si>
  <si>
    <t>Journal of Population and Social Studies</t>
  </si>
  <si>
    <t>Age; Children; Generation; Intersectionality; Migration; Youth</t>
  </si>
  <si>
    <t>Recent years have seen a blossoming of research on children and young people as migrants in the Southeast Asian context. This article takes the form of a stock-taking exercise of this rapidly growing new field of research. Yet, it also asks "what's new?" thereby contrasting and comparing contemporary scholarship with earlier work on young people and mobility in the region. The concept of age is central to the exercise of studying children and youth as a specific group of migrants, yet it is seldom subject to much conceptual scrutiny. Drawing on research from across the Southeast Asian region I illustrate how diverse conceptualizations of age can be recognized in various dimensions of the social process of migration and how these conceptual tools help illuminate migration as a relational and generational process. © 2017, Mahidol University, Institute for Population and Social Research.</t>
  </si>
  <si>
    <t>10.25133/jpssv25n2.004</t>
  </si>
  <si>
    <t>Huiliñir-Curío V.; Zunino H.M.</t>
  </si>
  <si>
    <t>Mobility, utopias and hybrid places in the southern Chilean andes; [Movilidad, utopías y lugares híbridos en los andes del sur de Chile]</t>
  </si>
  <si>
    <t>Revista INVI</t>
  </si>
  <si>
    <t>Chile; Emotions; Hybrid places; Mobility; Utopia</t>
  </si>
  <si>
    <t>The southern Chilean Andes area and its social-cultural sphere have been affected by migrants who aspire to develop new lifestyles different from that of large cities. Encouraged by the dream of achieving a better life in relatively remote places, they bring utopian projects associated with creative practices. This paper analyzes three community-based initiatives developed by migrants, studies their aspirations, dreams and interests and explores how newcomers develop emotional attachment to their new spaces and create new relationships with local communities. It is argued that these interventions give rise to the emergence of “hybrid places” characterized by the generation of diversified simultaneous understandings. It concludes with a discussion about the importance of studying developed spaces created on the basis of understandings that transcend modern linear and material thinking, suggesting the possibility of creating new social and spatial dimensions different than those imposed by capital. © 2017, Universidad de Chile, Instituto de la Vivienda. All rights reserved.</t>
  </si>
  <si>
    <t>10.4067/s0718-83582017000300141</t>
  </si>
  <si>
    <t>Hun N.; Urzúa A.; Caqueo-Urízar A.; López-Espinoza A.; Aragón D.</t>
  </si>
  <si>
    <t>Cigarette and alcohol consumption among Colombian migrants and Chileans living in Northern and Central Chile</t>
  </si>
  <si>
    <t>Tobacco Induced Diseases</t>
  </si>
  <si>
    <t>Alcohol; Chile; Cigarettes; Colombians; Migration</t>
  </si>
  <si>
    <t>INTRODUCTION In Chile, the migrant population generally reports lower rates of cigarette and alcohol consumption. However, the migratory process and assimilation of behaviors after extended exposure to the host country could increase the consumption of these substances. The aim of this study was to compare cigarette and alcohol consumption among Colombian migrants and Chileans residing in Chile. METHODS In 2019, data were collected from 963 Colombian migrants and 909 Chileans in three cities in Chile. The chi-squared test was used to analyze significant differences in cigarette and alcohol consumption between the groups. Subsequently, the relative risk (RR) and corresponding p-values were obtained. RESULTS Colombian migrants had a significantly lower consumption of cigarettes than Chileans (16.6% and 25.1%, respectively). Regarding alcohol consumption, Colombian migrants reported lower consumption than Chileans (43.3% and 48.4%, respectively). CONCLUSIONS The lower consumption of cigarettes and alcohol by Colombian migrants compared to Chileans is positive for the health of migrants. However, it is advisable to promote health interventions to avoid an increase in the consumption of these substances, especially considering that migrants could assimilate the consumption habits of Chileans. © 2021 International Society for the Prevention of Tobacco Induced Diseases. All rights reserved.</t>
  </si>
  <si>
    <t>12 December</t>
  </si>
  <si>
    <t>10.18332/tid/143088</t>
  </si>
  <si>
    <t>Hun N.; Urzúa A.; Henríquez D.T.; López-Espinoza A.</t>
  </si>
  <si>
    <t>Effect of Ethnic Identity on the Relationship Between Acculturation Stress and Abnormal Food Behaviors in Colombian Migrants in Chile</t>
  </si>
  <si>
    <t>Journal of Racial and Ethnic Health Disparities</t>
  </si>
  <si>
    <t>Abnormal eating behavior; Ethnic identity; Feeding; Immigration; Stress by acculturation</t>
  </si>
  <si>
    <t>Background: Acculturation stress may influence the development of abnormal eating behaviors. However, some mental health indicators, such as ethnic identity, may have a protective effect on this relationship. This study’s main objective is to analyze the mediating effect of ethnic identity on the relationship between acculturation stress and abnormal eating behaviors in Colombian migrants living in Chile. Methods: We obtained data on 976 Colombian migrants who were recruited with the help of the Department of Foreign Affairs, the Colombian Consulate in Chile, and self-managed groups of migrants residing in Chile. The mediation model was analyzed using Mplus 8.2 software, using the robust weighted least squares (WLSMV) estimation method. Results: The most common abnormal eating behaviors were eating until you feel full and eating large amounts of food. The mediation model was adapted to the data. The effects indicate that ethnic identity only had an indirect effect on the problems of social relations with other migrants (indirect effect =.17, p =.01) and on the distance from the origin (indirect effect = −. 06, p =.01) on the abnormal eating behaviors. On the other hand, the ethnic identity presented a direct and indirect effect on the relationship between citizenship and legality problems, and abnormal behaviors (indirect effect = −.06, p =.04; direct effect = −.35, p =.01). Discussion: Ethnic identity could be fundamental in the relationship between acculturation stress and abnormal eating behaviors, considering that post-migration eating practices are associated with unhealthy eating habits. © 2021, W. Montague Cobb-NMA Health Institute.</t>
  </si>
  <si>
    <t>10.1007/s40615-021-00972-2</t>
  </si>
  <si>
    <t>Hun, Nelson; Urzua, Alfonso</t>
  </si>
  <si>
    <t>Positive and negative affect in the relationship between anxiety, depression, and emotional eating in migrants</t>
  </si>
  <si>
    <t>REVISTA LATINOAMERICANA DE PSICOLOGIA</t>
  </si>
  <si>
    <t>Anxiety; depression; positive affect; negative affect; emotional eating</t>
  </si>
  <si>
    <t>Introduction: Migration affects people's lives, including their behaviours which impact both physical and mental health. Anxiety and depressive symptoms in migrants have been linked to negative physical and mental health outcomes associated with eating behaviour. This study aimed to analyse the mediating impact of positive and negative affect on the relationship between anxiety and depressive symptoms and emotional eating in migrants. Method: A sample of 922 Colombian migrants in Chile participated in the study. The Beck Anxiety Inventory, Beck Depression Inventory-II, Positive and Negative Affect Schedule, and the Dutch Eating Behaviour Questionnaire were used for data collection. Mediation analysis was conducted using structural equation models. Results: Anxiety and depression correlated positively. Anxiety presented positive results on negative affect and emotional eating and negative results on positive affect. Depression had positive impacts on negative affect and emotional eating and negative impacts on positive affect. Only negative affect presented significant positive results on emotional eating. Only negative affect presented a specific and statistically significant indirect influence on anxiety and emotional eating. Positive affect and negative affect jointly presented a total and statistically significant indirect effect between anxiety and EE and between depression and emotional eating. Conclusions: This study provides evidence of how negative affect mediates the relationship between anxiety and depressive symptoms and emotional eating. (c) 2023 Fundacion Universitaria Konrad Lorenz.</t>
  </si>
  <si>
    <t>10.14349/rlp.2023.v55.24</t>
  </si>
  <si>
    <t>Hun, Nelson; Urzua, Alfonso; Lopez-Espinoza, Antonio</t>
  </si>
  <si>
    <t>Anxiety and eating behaviors: Mediating effect of ethnic identity and acculturation stress</t>
  </si>
  <si>
    <t>APPETITE</t>
  </si>
  <si>
    <t>Migration; Anxiety; Eating behaviors; Ethnic identity; Acculturation stress</t>
  </si>
  <si>
    <t>Immigration changes the daily dynamics of migrant individuals and communities, as individuals confront new cultures and environments, including new foods and eating styles. Consequent influences on eating behaviors comprise an individual's actions in feeding themself that are conditioned by biological, social, cultural, and psychological factors. Mental health indicators such as anxiety and stress reflect negative impacts of acculturation on migrants' health, but ethnic identity is potentially protective. However, the relationship between these mental health indicators and immigrant populations' eating behaviors have not been addressed. Our objective was to analyze the mediating effects of acculturation stress and ethnic identity on the relationship between anxiety and three dimensions of eating behaviors in Colombian migrants living in Chile. A total of 959 Colombian immigrants participated. Ethnic identity only partially mediated the effect of emotional eating. The other two dimensions had direct effects but no mediating effects. Conversely, acculturation stress and emotional eating partially mediated restrained eating while external intake had a direct effect but no mediation. Anxiety had significant direct effects with all the dimensions analyzed. Ethnic identity score related to a protective effect between anxiety and emotional eating. Stress of acculturation, conversely, was a risk factor in the relationship between anxiety, emotional eating, and restrained eating.</t>
  </si>
  <si>
    <t>10.1016/j.appet.2020.105006</t>
  </si>
  <si>
    <t>Hurley P.T.; Arı Y.</t>
  </si>
  <si>
    <t>Saying “No” to (the) Oxygen Capital? Amenity migration, counter-territorialization, and uneven rural landscape change in the Kaz Dağları (Ida Mountains) of western Turkey</t>
  </si>
  <si>
    <t>Journal of Rural Studies</t>
  </si>
  <si>
    <t>Amenity migration; Counter-territorialization; Exurban political ecology; Kaz Dağı National Park; Reterritorialization</t>
  </si>
  <si>
    <t>Diverse forms of conservation and development are transforming the material landscapes and related livelihoods of communities in rural places around the world. While many studies focus on changing protected area governance and ecotourism efforts associated with nature protection, other studies focus on residential development in areas experiencing amenity migration. We use a comparative political ecology approach that draws on key insights from the political ecology literature, first, on neoliberal protected area expansion, and, second, on exurbia that highlight the dynamics of competing rural capitalisms and reterritorializtion in areas experiencing amenity migration to explore these coupled conservation and development dynamics. Drawing on the case of the Kazdağları (Ida Mountains) along the Bay of Edremit in western Turkey, we examine how changing environmental governance associated with the region's national park created key conditions for the emergence of new real estate dynamics that supported amenity-related development in some villages. Yet our research also uncovers further uneven rural landscape changes and divergent outcomes associated with this reterritorialization process. Our findings suggest the presence of counter-territorialization dynamics, or the efforts of culturally distinctive villages in rural areas to resist these landscape changes. In the Kazdağları selective strategies of engagement and non-engagement with the real estate market contribute to these divergent outcomes. To protect their cultural identity, villagers commodify particular landscape features, which enable these counter-territorializaton efforts to succeed. These findings hold insights for efforts to understand landscape patterns in rural areas characterized by changing protected area governance, high levels of natural amenity attracting in-migrants, and settlements with distinctive cultural identities. © 2018 Elsevier Ltd</t>
  </si>
  <si>
    <t>10.1016/j.jrurstud.2018.08.008</t>
  </si>
  <si>
    <t>Hwang J.; Choi J.</t>
  </si>
  <si>
    <t>Unwelcome Immigrants Knocking on the Door: Demographic Features of Immigrants and Populist Attitudes Rising in South American Countries</t>
  </si>
  <si>
    <t>Migration; Populism; South America</t>
  </si>
  <si>
    <t>Previous studies examining the link between immigration and populism have found mixed empirical results. By focusing on the populist attitude among native citizens, this article revisits the question of how immigration affects populism. In addition, we investigate this relationship in South America where immigrants are more educated, and skilled and have similar cultural or historical roots to native citizens. By using Latino Barometro data from 2000 to 2018, our empirical analysis of 10 South American countries finds that immigration fuels the populist attitude among citizens in South American countries. We also demonstrate the proportion of working-age immigrants or the level of economic development of immigrants’ home countries can change the influence of immigration on populism. These findings suggest that despite different features of immigration in this region than observed in other regions such as Europe the link between immigration and populism still holds. © The Author(s) 2024.</t>
  </si>
  <si>
    <t>10.1177/01979183231225941</t>
  </si>
  <si>
    <t>Iacobelli P.</t>
  </si>
  <si>
    <t>Conservatives, members of the Radical Party and the "national interest": the Empire of Japan's support networks in Chile during World War II; [Conservadores, Radicales y el "interés nacional": las redes de apoyo al Imperio de Japón en Chile durante la Segunda Guerra Mundial]</t>
  </si>
  <si>
    <t>Izquierdas</t>
  </si>
  <si>
    <t>Chile; Conservative Party; Japan; Radical Party; World War II</t>
  </si>
  <si>
    <t>This investigation is framed within the scholarship that examines Latin American politics during WWII. We aim to reassess the Chilean experience departing from an analysis of those who supported neutrality and the activities of the Japanese legation in the country. From a methodological pint of view, we shed light on less studied actors and reveal important elements for the understanding of the Chilean situation during the War. This paper concludes that the argument for neutrality lay on a specific idea of the "national interest" which was supported by various politician, some of those were also supportive to the pro Japanese networks. This is an original study that uses archival information from the U.S., Chile and Japan in order to reveal the ideas and interests behind the support for neutrality among some conservatives and popular front members. © 2022 Ariadna Ediciones. All rights reserved.</t>
  </si>
  <si>
    <t>10.4067/s0718-50492022000100204</t>
  </si>
  <si>
    <t>Iacobelli, Pedro</t>
  </si>
  <si>
    <t>The ILO and the Japanese Migration Project to Bolivia in the 1950s</t>
  </si>
  <si>
    <t>ILO; migration; Bolivia</t>
  </si>
  <si>
    <t>Starting from a perspective that highlights the role of governmental agents and international organizations, this paper examines the resumption of Japanese migration to Latin America during the postwar period. In particular, and from a historical point of view, this text connects the promotion of international migration from overpopulated to depopulated regions, as encouraged by the International Labour Organization ( ILO) and by the Japanese government's emigration project to Bolivia and other Latin American countries in the mid-twentieth century. The paper first reviews the demographic economic policy proposed by the ILO - emphasizing the benefits of transferring advanced human capital from overpopulated to uninhabited areas - and then examines the postwar Japanese government's use of this theory to justify its own migration movements.</t>
  </si>
  <si>
    <t>Ibarra Rebolledo, Carlos Eduardo</t>
  </si>
  <si>
    <t>EL TERREMOTO Y TSUNAMI DE 1835 EN CONCEPCIÓN Y LA FRONTERA DEL RÍO BIOBÍO: DESTRUCCIÓN, RELOCALIZACIÓN, TRASLADOS Y NUEVAS INVERSIONES</t>
  </si>
  <si>
    <t>earthquake; tsunami; popular sectors; investors; border; Concepción</t>
  </si>
  <si>
    <t>Abstract The Earthquake of 1835 that affected with more understood the area between Talca and Valdivia as a natural landmark that marks a before and after in the history of one of the cities - and is hinterland - located in the geographical frame: Concepción. Previously affected by the Guerra a Muerte, the province of Concepción remained practically inactive until the end of the war, after which it reactivated its comercial circuits. However, the aforementioned earthquake hindered everything that had been done, which was aggravated by the migration of former penquista families to Santiago and why the suburbs were filed with poor peasant families, increasing the socioeconomic crisis. Against all odds, it was possible to reactivate and modernize old economic sectors, which leads us to understand this telluric phenomenon not only as a synonym for disaster, such as the activity of the wheat mill. In this article, we have focused our attention on the coastal area of the Penquista province, known by the Mapuche communities as Lafkenmapu, and occupied as a fundamental source the offices contained in the Ministerio del Interior in the Archivo Nacional Histórico in Santiago de Chile.</t>
  </si>
  <si>
    <t>Icarte Ahumada, Luz; Torres Torres, Natalia; Ramos Rodríguez, Romina</t>
  </si>
  <si>
    <t>La Zona Franca de Iquique y su impacto en el trabajo informal de mujeres migrantes fronterizas</t>
  </si>
  <si>
    <t>Free Trade Zone; migration; feminization; employement; Tarapacá Region</t>
  </si>
  <si>
    <t>Abstract: The Free Trade Zone of Iquique has been a sustained engine of economic development in the Tarapacá region, in northern Chile. Since its creation, it has been a transit space for goods and people that connects Tarapacá with the West Central South America. In geographic terms, this space turns out to be key for circulation due to its border position. Therefore, it is an attractive niche for employment. What are the employment conditions that it provides to migrant women? From interviews conducted with migrant women working in the industrial zone of the Free Trade Zone, it is concluded that the job offer in this area is precarious and offers difficulties to perform administrative procedures that allow women to regularize their migratory status.</t>
  </si>
  <si>
    <t>51</t>
  </si>
  <si>
    <t>10.32735/s0718-6568/2018-n51-1350</t>
  </si>
  <si>
    <t>Iglesias Calonge, Pedro; Rivera Pino, Lorena</t>
  </si>
  <si>
    <t>Forced migration to online classes: a case study in Music teacher education in the context of COVID-19</t>
  </si>
  <si>
    <t>REVISTA ELECTRONICA DE LEEME</t>
  </si>
  <si>
    <t>Teacher Education; Online Learning; COVID-19; Music Teachers</t>
  </si>
  <si>
    <t>As an emergency measure in response to the pandemic produced by COVID-19, most of the universities in the world had to close their campuses and reschedule their activities. Although official statistics indicate that practically all the institutions continued with their learning activities, responsibility for didactic and curricular modifications fell on the teachers who had been giving classes in face-to-face formats and who had no experience in teaching in online formats. This forced migration meant that the universities were able to continue training students on a more or less regular basis; however, the official statistics that speak of approval rates do not account for the effectiveness of learning in this new format. The combination of a case study in a career in music pedagogy at a PLACE and an investigation of grounded theory design seeks to describe, substantiate, and evaluate the modifications made to the different subjects from the teacher's point of view, visualize the difficulties they had during the period, and reflect on the effectiveness and projection of online teaching in musical disciplines. Our results point to a great diversity of modifications, highlighting several related to Active Methodologies, such as Project based Learning and the Flipped Classroom. They also report a feeling of significant work overload and a perception that learning is diminished in online contexts compared to face-to-face ones.</t>
  </si>
  <si>
    <t>10.7203/LEEME.48.21700</t>
  </si>
  <si>
    <t>Iglesias-vejar, Lorena; Rodriguez, Paola Caceres; Rivera, Nathalie llanos; Obregon, Karen baspi-fer</t>
  </si>
  <si>
    <t>Gastronomic fusion experience between Chile and Haiti; a form of cultural integration with the haitian community resident in Chile</t>
  </si>
  <si>
    <t>KEY WORDS Migration; cultural integration; food integration; gastronomic culture; nutrition</t>
  </si>
  <si>
    <t>The migratory phenomenon has strongly impacted Chile in recent years, with the Haitian community being one of the fastest growing immi-grants. Haitian families arriving the country must not only face new customs and lifestyles, but they must also overcome the language barrier. Their work and life situation are precarious, which could explain the higher prevalence of malnutrition in boys and girls. As a way to contribute to improve the quality of their food, and within the framework of the allocation of extension funds from the Faculty of Medicine, a culinary integration program was carried out between habitual preparations from Chile and Haiti. This program was deve-loped in conjunction with Haitian women residing in Pedro Aguirre Cerda, commune of Santiago, beginning with a participative diagnosis that allowed the planning of the project to be adapted. Then, the cooking workshops were carried out, where typical and/or habitual preparations of Haiti and Chile were jointly prepared, taking advantage of this opportunity to highlight the nutri-tional benefits of food, in addition to promote healthy culinary techniques, risks prevention measures and hygiene in food handling. Finally, a subgroup of Haitian women participated in the creation of fusion dishes, a mixture of a Haitian and a Chilean dish, keeping the best of each according to nutritional, organoleptic, and cultural aspects. The resulting recipes were captured in a recipe book, written in Spanish and Creole, and in videos with step-by-step preparation. It is expected these new dishes to be adopted by Haitian families by coexisting elements of their own gastronomic culture, nuanced with Chi - lean foods, techniques, and forms of preparation, being attractive, nutritious and culturally relevant.</t>
  </si>
  <si>
    <t>10.7770/CUHSD-V33N1-ART629</t>
  </si>
  <si>
    <t>Igorevna-Kazanina, Ekaterina</t>
  </si>
  <si>
    <t>Russian wife as a product of the international marriage market and its role in migration processes in Chile</t>
  </si>
  <si>
    <t>Transnational marriage migration; international marriage market; feminine migration; Chile; Russia; Russian wives</t>
  </si>
  <si>
    <t>This article examines international marriage migration and the marriage market. Special attention is paid to Russian -speaking immigrant women in Chile, who are defined as Russian wives. The data presented here is based on ethnographic research of female migration from three countries of the former Soviet Union (Belarus, Ukraine and Russia): focusing on historical stages of migration from Russia to Chile; the influence of the media and the main reasons for the emergence of a phenomenon such as Russian wives, the adaptation characteristics of migrant women in Chile.</t>
  </si>
  <si>
    <t>10.22185/24487147.2023.117.19</t>
  </si>
  <si>
    <t>Illanes J.C.</t>
  </si>
  <si>
    <t>Family diversity and family law in Chile: Is there a possible relation?; [Diversidade familiar e direito no Chile: Uma relação possível?]; [Diversidad familiar y derecho en Chile: ¿una relación posible?]</t>
  </si>
  <si>
    <t>Chile; Family diversity; Family law; Normative ideals; Recognition</t>
  </si>
  <si>
    <t>The objective of this article is to formulate some hypotheses regarding the relationship between Family and Family Law in Chile since the second half of the 20th century. It suggests that family laws are extremely out of touch with respect to the current social reality, because they continue to reproduce a normative ideal of the family. First of all, it presents a theoretical background which questions the idea of the family as a unique, stable and immanent context, and raises the questions of social representation, family diversity and (struggles for) recognition as the main issues for analysis. Secondly, it presents demographic trends regarding the family in Latin America, and points out the gaps in information on the subject. Thirdly, it explores the Chilean caset in detail, taking stock of all the main laws on family matters. Finally, the conclusions point to a gap between the family as it is represented in the law, and its empirical reference points. © 2015, Universidad de los Andes, Bogota Colombia. All rights reserved.</t>
  </si>
  <si>
    <t>10.7440/res52.2015.11</t>
  </si>
  <si>
    <t>Imilan W.A.</t>
  </si>
  <si>
    <t>Performing national identity through Peruvian food migration in Santiago de Chile</t>
  </si>
  <si>
    <t>Fennia</t>
  </si>
  <si>
    <t>Food migration; Migration; National identity; Performance; Santiago de Chile</t>
  </si>
  <si>
    <t>The article explores the processes of re-production of national identity based on food-related practices and discourses of Peruvian migrants living in Santiago de Chile. The meeting point of these three fields - migration, national identity and food - is most evidently performed in the celebration of the Peruvian National Holidays in Santiago. The article finds evidence that the performance in this national festivity reinforces a sense of Peruvianness, thus contributing to the study of contemporary processes of renewal of national identities in transnational contexts. The case study also demonstrates that the ascription of national identity by Peruvian in Santiago is strategic, and it operates as an assemblage of various and locally situated elements.</t>
  </si>
  <si>
    <t>10.11143/46369</t>
  </si>
  <si>
    <t>Infante, Cesar; Leyva-Flores, Rene; Pablo Gutierrez, Juan; Quintino-Perez, Frida; Armando Torres-Robles, Cristian; Gomez-Zaldivar, Mariajose</t>
  </si>
  <si>
    <t>Rape, transactional sex and related factors among migrants in transit through Mexico to the USA</t>
  </si>
  <si>
    <t>CULTURE HEALTH &amp; SEXUALITY</t>
  </si>
  <si>
    <t>Migration; sexual violence; gender; Mexico; USA</t>
  </si>
  <si>
    <t>Migrants in transit through Mexico to the USA are at risk of violence, including sexual violence, during the immigration process. This study sought to identify the socio-demographic factors, migration experiences and health conditions associated with the likelihood of sexual violence. A mixed methods study was conducted between 2012 and 2015. The quantitative phase of the work involved a non-random sample (n = 3539) of migrants who were the users of migrant shelters in Mexico. A probit regression model was used to identify the variables associated with the experience of sexual violence by participants. A total of 58 semi-structured interviews took place with migrants who had either experienced sexual violence or who were acquainted with the sexual violence experienced by other migrants. Of those who experienced any kind of violence, 5.7% reported having experienced sexual violence, with statistically significant differences by gender. According to male migrants, women in transit had the advantage of having an 'entry ticket [to the USA] between their legs'. The dynamics of undocumented transit migration provide multiple opportunities for gender-based inequality and sexual violence. We consider the major underreporting of sexual violence due to the stigma and normalisation of violence, in a social context marked by impunity.</t>
  </si>
  <si>
    <t>10.1080/13691058.2019.1662088</t>
  </si>
  <si>
    <t>Inostroza-Villanueva G.; Osorio-García M.; Farías A.</t>
  </si>
  <si>
    <t>Socio-Environmental Conflicts and the Role of Tourism: a Comparative Case Study in Chilean Patagonia; [Conflictos socioambientales y el rol del turismo: estudio de caso comparado en la Patagonia chilena]</t>
  </si>
  <si>
    <t>regional and local development; social conflict; socio-territorial transformations</t>
  </si>
  <si>
    <t>In a global scenario of environmental crisis, the wild and untouched nature of the planet is exposed to intensive use pressures by different productive sectors. In Chilean Patagonia, an area recognized for its environmental, scenic, and tourist value, large energy projects have caused environmental conflicts. The research objective is to analyze the tourism sector’s role in three environmental conflicts through a comparative case study. The hypothesis is that the tourism sector has a discourse of opposition to energy projects. However, the results show that this sector develops itself ambivalently in conflicts. On one hand, it actively opposes large energy projects due to their impact on the landscape’s naturalness; on the other hand, it sees them as a development opportunity to contribute to a greater touristification of the territory. © EURE.</t>
  </si>
  <si>
    <t>10.7764/eure.50.149.02</t>
  </si>
  <si>
    <t>Intke-Hernandez M.</t>
  </si>
  <si>
    <t>Multilingualism in Finland. The agency of immigrant mothers in the socialization of heritage languages; [Multilingüismo en Finlandia. La agencia humana de las madres inmigrantes en la socialización de las lenguas de herencia]</t>
  </si>
  <si>
    <t>Boletin de Filologia</t>
  </si>
  <si>
    <t>human agency; language socialization; migration; motherhood</t>
  </si>
  <si>
    <t>This paper examines what immigrant mothers in Finland do as active agents to support their children’s language socialization. The main focus is on the narratives of the mothers and the decisions they make in their daily lives. This ethnographic study explores the case of four Spanish-speaking immigrant mothers (two Centroamerican and two European) in Finland. The data is analyzed using nexus analysis (Scollon y Scollon 2004). As active agents, migrant mothers work a lot in their daily lives to foster the linguistic socialization of their children. In the narratives of this research’s data, three main discourses can be identified: 1) the discourse on daily activities, 2) the discourse on social contacts and 3) the discourse of linguistic awareness. © 2023 Universidad de Chile. All rights reserved.</t>
  </si>
  <si>
    <t>Irarrazaval F.</t>
  </si>
  <si>
    <t>Social protest at mining territories: Examining contentious politics at mining districts in Chile</t>
  </si>
  <si>
    <t>Contentious politics; Extractive industries; Mining; Mining territories; Territorial turn</t>
  </si>
  <si>
    <t>The territorial turn in the research agenda about extractive industries and development has remarked the uneven and entangled processes through which industries anchor across space. Whereas the uneven developmental performance of mining areas has been largely discussed, this turn offers fertile ground to interact with the literature about contentious politics and examine how the spatial distinction of mining territories also shapes local unrest and social mobilization. This paper examines social protest dynamics at mining districts by exploring four dimensions of contentious politics and comparing its prevalence between mining and non-mining districts. For such a purpose, the paper distinguishes between mining and non-mining districts through a cluster analysis based on a set of mining-related variables. Afterward, it analyses four relevant dimensions of social protests related to extractive industries (labor, public services, local politics, and environmental) based on a database of protest actions registered between 2009 and 2019 in 18 newspapers. The results show that mining districts are distinguished by social protests related to public services and labor demands, while social protest related to local politics and environmental issues does not exhibit a significant difference between mining and non-mining districts. Thereby, the districts in which mining exerts a larger influence face higher rates of social protest only regarding labor and public services. © 2022 Elsevier Ltd</t>
  </si>
  <si>
    <t>10.1016/j.resourpol.2022.102787</t>
  </si>
  <si>
    <t>Iskra P.-S.</t>
  </si>
  <si>
    <t>INTERCULTURAL EDUCATION IN CHILE: THE INCLUSIVE EXPERIENCE OF THE “WORDS OF UNION” WORKSHOP; [P EDUCACIÓN INTERCULTURAL EN CHILE: LA EXPERIENCIA INCLUSIVA DEL TALLER “PALABRAS DE UNIÓN”*]</t>
  </si>
  <si>
    <t>Cauriensia</t>
  </si>
  <si>
    <t>acculturation; bilingualism (UNESCO); education; family; migration</t>
  </si>
  <si>
    <t>This article aims to analyze the perception migrant families of Haitian origin, whose mother tongue is Creole, have about the experience of their daughters and sons in the “Words of Union” workshop, where they facilitated the linguistic immersion process. Nine semi-structured interviews using a qualitative methodology were conducted with parents and guardians of a public primary school located in a vulnerable neighborhood of Santiago, Metropolitan Region, Chile. The results show that migrant families value the support received from the workshop, especially the strategies used by the interdisciplinary team of teachers, speech therapists, and teaching staff. However, there is a high demand from parents to have more communication opportunities with the school. It is recognized that the new technologies function as an accessible channel that can facilitate the participation of the entire school community. © 2023 Instituto Teologico de Caceres, Universidad de Extremadura. All rights reserved.</t>
  </si>
  <si>
    <t>10.17398/2340-4256.18.725</t>
  </si>
  <si>
    <t>Iturbe-Ormaetxe, Inigo; Romero, J. Gabriel</t>
  </si>
  <si>
    <t>Financing public goods and attitudes toward immigration</t>
  </si>
  <si>
    <t>EUROPEAN JOURNAL OF POLITICAL ECONOMY</t>
  </si>
  <si>
    <t>Probabilistic voting model; Public goods; Immigration</t>
  </si>
  <si>
    <t>We study a model where individuals choose both the level of provision of a public good and the quota of low-skilled immigrants that are allowed into the country. Individuals can supplement the public good in the private market. Immigrants affect natives through three channels: (i) the labor market; (ii) tax collection; (iii) the quality of the public good. We find that the higher the political weight of the rich (highly skilled) is, the less tolerant the poor and the middle-class are toward immigration and the more demanding they are toward increasing public spending. The rich are the most favorable to immigration. As they have more weight, the political outcome is closer to their preferences and further from the preferences of the other groups. We use data from the European Social Survey to test the implications of our model. (C) 2016 Elsevier B.V. All rights reserved.</t>
  </si>
  <si>
    <t>10.1016/j.ejpoleco.2016.07.006</t>
  </si>
  <si>
    <t>Ivanova, Anna; Andre Jocelin-Almendras, Jorge</t>
  </si>
  <si>
    <t>Representations of (Im)migrants in Chilean Local Press Headlines: a Case Study of El Austral Temuco</t>
  </si>
  <si>
    <t>Immigrants; Media framing; Regional media; Chile</t>
  </si>
  <si>
    <t>Nowadays immigration has been deemed an important societal issue in Chile. One of the ways to legitimize ideology in a society is through the media (van Dijk, 2012); therefore, media representation of immigrants may lead to the formation of social stereotypes and ultimately to their different treatment in a host country. This paper aims to analyze the ways in which the media portrays immigrants in Chile. To accomplish this goal, we examine a corpus of newspaper headlines published in El Austral Temuco during 2015-2018, applying a methodology which combines CDA and media framing analysis. The results of the analysis show a strong context difference in the terms use by the media, mainly, between a foreigner, an immigrant, and the national: the first one is represented as a professional, and the last two are portrayed as passive social actors. Thus, the conclusion is that the immigrants in the South of Chile are presented by the media to foreground the Government actions, and little emphasis is done to their contribution to the Chilean society.</t>
  </si>
  <si>
    <t>10.1007/s12134-021-00832-2</t>
  </si>
  <si>
    <t>Ivanova, Anna; Buron, Lucero</t>
  </si>
  <si>
    <t>Media representation of immigration in the Chilean written press during 2015-2019</t>
  </si>
  <si>
    <t>CANADIAN JOURNAL AMERICAN AND CARIBBEAN STUDIES</t>
  </si>
  <si>
    <t>Media; written press; immigrants; representation; Chile; Medios de comunicacion; prensa escrita; inmigrantes; representacion</t>
  </si>
  <si>
    <t>The current migration flows in Chile have undergone changes and transformations that have impacted the country and its public policies, which, in turn, has echoed in the media. By employing media framing and a longitudinal content analysis of the media corpus, the main objective of this article is to critically scrutinize media frames of immigration in Chilean local written press during 2015-2019. The analysis results demonstrate that the three newspapers represent immigration based on the statistical frames and public policies. The first frame places the phenomenon of immigration quantitatively, stating its existence and importance in terms of supposed massiveness. The second frame allows qualitatively characterizing the phenomenon, establishing it as a problem for the state regarding public policies. The study demonstrates little media pluralism in the corpus. It concludes that the three newspapers follow a similar media agenda on immigration by reproducing official speeches directly related to the dominant political agenda. Los flujos migratorios actuales en Chile han sufrido cambios y transformaciones que impactaron al pais y sus politicas publicas, lo que, a su vez, ha tenido eco en los medios de comunicacion. El articulo investiga la cobertura mediatica de la inmigracion en la prensa escrita local chilena durante 2015-2019. Para lograr este objetivo, realizamos un estudio de contenido longitudinal del corpus publicado en tres diarios chilenos durante 2015-2019. Los resultados del analisis demuestran que los tres periodicos tienden a representar la inmigracion con base en los marcos estadisticos y las politicas publicas. El primer encuadre situa cuantitativamente el fenomeno de la inmigracion, enunciando su existencia e importancia en terminos de supuesta masividad. El segundo encuadre permite caracterizar cualitativamente el fenomeno, situandolo como un problema del Estado en terminos de politicas publicas. El estudio demuestra poco pluralismo mediatico en el corpus y concluye que los tres periodicos siguen una agenda mediatica similar sobre inmigracion al reproducir discursos oficiales directamente relacionados con la agenda politica dominante.</t>
  </si>
  <si>
    <t>10.1080/08263663.2023.2271302</t>
  </si>
  <si>
    <t>Ivanova, Anna; Jocelin, Jorge; Samaniego, Mario</t>
  </si>
  <si>
    <t>Los inmigrantes en la prensa chilena: lucha por protagonismo y racismo encubierto en un periódico gratuito</t>
  </si>
  <si>
    <t>immigration; media representation; Publimetro; written press</t>
  </si>
  <si>
    <t>Abstract: This article examines the representation of immigrants in the media discourse during 2017 and 2018 in Chile. Based on a Critical Discourse Analysis (CDA) applied to Publimetro, a free-circulation newspaper in the Chilean capital, this study does not reveal the openly aggressive representation of immigration but rather demonstrates that the daily press represents migrants as a collective of subjects that the State has to welcome, reinforcing the approach referred to public policy actions towards migrant communities and not their contributions to the receiving country. Therefore, the dominant use of representations of migrants only as receivers reinforces the stereotype of them as dependent on government resources. Similarly, the use of the specific term on a nationality refers primarily to Haitian residents, giving them a particular place in the terminology of migrants in the newspaper, turning skin color into a distinctive sign of migration in Chile.</t>
  </si>
  <si>
    <t>10.5354/0719-1529.2022.67412</t>
  </si>
  <si>
    <t>Jaime B.M.; Nicolás F.S.</t>
  </si>
  <si>
    <t>The development of urban medicine in chile. the medicalization of the popular space in santiago between the middle of the nineteenth and the beginning of the twentieth century; [la medicalización del espacio popular en Santiago de Chile (siglos XIX y XX)]</t>
  </si>
  <si>
    <t>Capitalism; City; Hygienism; Medicalization; Migration</t>
  </si>
  <si>
    <t>This paper shows the reasons and describes the process of medicalization of the popular space that took place in Santiago de Chile to the centennial of the Republic. It explains how during the nineteenth century, the growing rural-urban migration diluted the original limits of Santiago city, causing serious problems of overcrowding and unsanitary conditions in the suburbs of the capital. The constant threat of epidemics and infectious diseases began to doubt the effectiveness of nineteenth-century medicine, his power and social significance.</t>
  </si>
  <si>
    <t>10.4206/rev.austral.cienc.soc.2013.n24-01</t>
  </si>
  <si>
    <t>Jakovljevic, Mihajlo; Liu, Yansui; Cerda, Arcadio; Simonyan, Marta; Correia, Tiago; Mariita, Richard M.; Kumara, Ajantha Sisira; Garcia, Leidy; Krstic, Kristijan; Osabohien, Romanus; Toan, Tran Khanh; Adhikari, Chiranjivi; Chuc, Nguyen Thi Kim; Khatri, Resham B.; Chattu, Vijay Kumar; Wang, Liang; Wijeratne, Tissa; Kouassi, Eugene; Khan, Habib Nawaz; Varjacic, Mirjana</t>
  </si>
  <si>
    <t>The Global South political economy of health financing and spending landscape - history and presence</t>
  </si>
  <si>
    <t>JOURNAL OF MEDICAL ECONOMICS</t>
  </si>
  <si>
    <t>Global South; health financing; political economy; health expenditure; LMICs; Asia; China; India; Asean; BRICS; emerging markets; history; modernity; developing world; Russia; economic history; GDP; economic growth; Colonial Era; Cold War; health spending; NCDs; aging population</t>
  </si>
  <si>
    <t>The Global South nations and their statehoods have presented a driving force of economic and social development through most of the written history of humankind. China and India have been traditionally accounted as the economic powerhouses of the past. In recent decades, we have witnessed reestablishment of the traditional world economic structure as per Agnus Maddison Project data. These profound changes have led to accelerated real GDP growth across many LMICs and emerging countries of the Global South. This evolution had a profound impact on an evolving health financing landscape. This review revealed hidden patterns and explained the driving forces behind the political economy of health spending in these vast world regions. The medical device and pharmaceutical industry play a crucial role in addressing the unmet medical needs of rising middle class citizens across Asia, Latin America, and Africa. Domestic manufacturing has only been partially meeting this ever rising demand for medical services and medicines. The rest was complemented by the participation of multinational pharmaceutical industry, whose focus on investment into East Asia and ASEAN nations remains part of long-term market access strategies. Understanding of the past remains essential for the development of successful health strategies for the present. Political economy has been driving the evolution of health financing landscape since the establishment of early modern health systems in these countries. Fiscal gaps these governments face in diverse ways might be partially overcome with the spreading of cost-effectiveness based decision-making and health technology assessment capacities. The considerable remaining challenges ranging from insufficient reimbursement rates, large out-of-pocket spending, and lengthy lag in the introduction of cutting-edge technologies such as monoclonal antibodies, biosimilars, or targeted oncology agents, might be partially resolved only in the long run.</t>
  </si>
  <si>
    <t>10.1080/13696998.2021.2007691</t>
  </si>
  <si>
    <t>Jammet-Arias N.</t>
  </si>
  <si>
    <t>METHODOLOGY OF ANALYSIS OF THE RECORDS OF THE FRENCH OFFICE FOR REFUGEES AND STATELESS PEOPLE ADAPTATION TO THE CHILEAN CASE; [METODOLOGÍA DE ANÁLISIS DE LOS ARCHIVOS DE LA OFICINA FRANCESA PARA LOS REFUGIADOS Y APÁTRIDAS ADAPTADA AL CASO CHILENO]</t>
  </si>
  <si>
    <t>Analysis Methodology; Chile; Exil; France; OFPRA</t>
  </si>
  <si>
    <t>This article deals with the archival fund of the OFPRA, a French office created in 1952 to rule on asylum applications and replace the administration for administrative management of refugees. The paper describes the background and tries to show how the records can be used to gather valuable information. An analysis method adapted to the study of Chilean exile is proposed with an example of an analysis diagram and the overall results for the specific case of exile roads. © 2020, Universidad de Santiago de Chile. All rights reserved.</t>
  </si>
  <si>
    <t>10.35588/rhsm.v24i2.4385</t>
  </si>
  <si>
    <t>Jara Males, Loreto; Vuollo, Eevamaija</t>
  </si>
  <si>
    <t>Por el derecho a la educación de la comunidad migrante en Chile: propuestas integrales desde la sociedad civil y diversos actores educativos</t>
  </si>
  <si>
    <t>Interculturality; migration; public education policy; Antofagasta; teacher training</t>
  </si>
  <si>
    <t>ABSTRACT: The current context of migration in Chile has resulted in a series of challenges for different actors in the world of politics, civil society and, certainly, in the world of education. In order to face these complex problems, the conviction of a Chilean NGO called Educación 2020 has been, since its origins, to empower the citizenry and strengthen the capacities of the educational communities to participate actively in social development. From this perspective, Educación 2020 presented a project that seeks to strengthen the right to quality education of migrant students in Antofagasta, a region of Chile that has the second highest number of migrant population in Chile. The following article presents the partial results of an experience of articulating different actors of the civil society to advance towards an intercultural education and to contribute to the design of public policies that consider the reality and experience of the territory.</t>
  </si>
  <si>
    <t>Jara Rodriguez-Farinas, Maria; Manuel Romero-Valiente, Juan; Luis Hidalgo-Capitan, Antonio</t>
  </si>
  <si>
    <t>The economic exiles. The third waves of Spanish emigration to Chile (2008-2014)</t>
  </si>
  <si>
    <t>Spain; Chile; emigration; professionals; crisis</t>
  </si>
  <si>
    <t>The article analyzes Spanish emigration to Chile between 2008 and 2014, with the aim of defining the profile of new Spanish emigrants to Chile, understanding the reasons for their migration, identifying initial problems in the migration process, identifying the conditions of their current situation and understanding their future expectations. We used a mixed quantitative and qualitative methodological strategy, combining first and second order research. We have concluded that these emigrants are highly skilled young people, expelled from Spain by the crisis and attracted to Chile by the opportunities to gain work experience; in Chile they encounter a migratory network of Spanish emigrants who hold qualified jobs that the national population could not fill in the mining and energy sectors; they have not encountered any particular difficulties in their migration process, are satisfied with their experiences and their expectations for the future include staying in Chile or re-emigrating.</t>
  </si>
  <si>
    <t>Jara-Labarthe, Vanessa; Cisneros Puebla, Cesar A.</t>
  </si>
  <si>
    <t>Migrants in Chile: Social crisis and the pandemic (or sailing over troubled water horizontal ellipsis )</t>
  </si>
  <si>
    <t>QUALITATIVE SOCIAL WORK</t>
  </si>
  <si>
    <t>Crisis; migration; social policy; migrants in Chile; vulnerability; Covid-19</t>
  </si>
  <si>
    <t>Chile has sailed in troubled waters in recent months. The effects of the social crisis at the end of 2019 were not yet fully evident, when the Covid-19 pandemic forced the government to take drastic measures to try to slow down the advance of the virus. The restrictions imposed on displacement, dynamic quarantines and the suspension of non-essential activities had a strong impact on the employment and economic conditions of the inhabitants of Chile, and more dramatically on the migrant population. This article aims to make visible the vulnerability and precariousness of the migrant population in Chile in this context of a pandemic, as well as the need to generate situated and inclusive social policies.</t>
  </si>
  <si>
    <t>10.1177/1473325020973363</t>
  </si>
  <si>
    <t>Jaramillo Contreras A.C.; Cabieses B.; Knipper M.; Rocha-Jiménez T.</t>
  </si>
  <si>
    <t>Borders and liminality in the right to health of migrants in transit: The case of Colchane in Chile and Necoclí in Colombia</t>
  </si>
  <si>
    <t>Borders; Distress migration; Liminality; Migrants in transit; Right to health</t>
  </si>
  <si>
    <t>The absence of the right to health of migrants in transit has evolved into a significant global health concern, particularly in the border regions thus, this study aims to improve knowledge in this area by exploring the effects of the spatio-temporal liminal characteristics at borders in the achievement of the right to health of migrants in transit moving across two of the most transited and dangerous borders in Latin America: Colchane (Chile-Bolivia) and the Darién Gap (Colombia-Panamá). Through a qualitative descriptive multi-case study, we implemented 50 semi-structured interviews (n = 30 in Chile and n = 20 in the Darién/Necoclí) involving national, regional, and local stakeholders. The findings highlight that the fulfilment of the right to health of migrants in transit is hindered by liminal dynamics at the borders. These dynamics include closure of borders, (in)securities, uncertainty and waiting, lack of economic resources, lack of protection to all, liminal politics, and humanitarian interventions. These findings surface how the borders’ liminality exacerbates the segregation of migrants in transit by placing them in a temporospatial limbo that undermines their right to health. Our study concludes that not just the politics but also the everyday practices, relationships and social infrastructure at borders impedes the enjoyment of the right to health of distressed migrants in transit. The short-term humanitarian response; illicit dynamics at borders; migratory regulations; and border and cross-border political structures are some of the most significant determinants of health at these borderlands. © 2024</t>
  </si>
  <si>
    <t>10.1016/j.jmh.2024.100230</t>
  </si>
  <si>
    <t>Jaramillo Velez, Lin Deicy; Garcia-Juan, Laura</t>
  </si>
  <si>
    <t>CURRENT CHALLENGES OF HEALTH CARE FOR THE IRREGULAR IMMIGRANT POPULATION IN COLOMBIA</t>
  </si>
  <si>
    <t>BARATARIA-REVISTA CASTELLANO-MANCHEGA DE CIENCIAS SOCIALES</t>
  </si>
  <si>
    <t>Right to health; Comprehensive social security system; Irregular immigrants; Spain; Chile</t>
  </si>
  <si>
    <t>In a few years, Colombia has changed from being a sending country of international immigrants to becoming a receiving one, particularly due to mixed migratory flows coming from Venezuela. This situation has brought new economic, political and social challenges that need to be addressed from various disciplines, including the law. This article deals with one of the most visible and urgent challenges that are facing Colombian society: comprehensive health care for immigrants in an irregular administrative situation. The research starts from the premise that immigrants own some rights that are inherent, inalienable, and from which they cannot be deprived, regardless of where them are. However, in the Colombian legal system there is no such provision, so it is necessary to review the regulations of other countries that do, such as Spain and Chile. Although some measures have been taken to facilitate the access to health of irregular immigrants, the emerging migration policies in Colombia force to articulate some transitory strategies in the meantime.</t>
  </si>
  <si>
    <t>10.20932/barataria.v0i25.472</t>
  </si>
  <si>
    <t>Jaramillo, Matías</t>
  </si>
  <si>
    <t>Hijas e hijos de inmigrantes: las denominadas “segundas generaciones” como objeto emergente en el campo de los estudios migratorios en Chile</t>
  </si>
  <si>
    <t>second generations; contemporary migrations; racialization</t>
  </si>
  <si>
    <t>Abstract The field of migration studies in Chile has strengthened throughout the last decades. In parallel, the migration pattern has become more complex and dynamic, bringing new topics up to the table, pushing the different disciplines to produce new objects and, consequently, to broaden their perspectives. Within this context, this article suggests the development of an object of study named “second generations”, i.e., daughters and sons of immigrants born in their mothers and fathers´ new country. In order to do so, the field of migration studies is established, some definitions linked to the Chilean context are given, and two conditioning factors that are linked to their socialization in Chile and to the heritage of migratory condition are proposed.</t>
  </si>
  <si>
    <t>60</t>
  </si>
  <si>
    <t>10.5354/0718-2236.2023.70701</t>
  </si>
  <si>
    <t>Jarufe V.G.; Salvatierra Z.E.V.</t>
  </si>
  <si>
    <t>DISCOURSES AND STRATEGIES IN FEMALE SIKURI GROUPS IN SOUTHERN PERU: THE EXPERIENCE OF WARMI SIKURI AWKA SISA IN AREQUIPA, PERU (2018-2019); [DISCURSOS Y ESTRATEGIAS EN LOS GRUPOS SIKURIS FEMENINOS EN EL SUR PERUANO: LA EXPERIENCIA DE WARMI SIKURI AWKA SISA EN AREQUIPA, PERÁ (2018-2019)]</t>
  </si>
  <si>
    <t>Andean music; discursos feministas y música; Female sikuri; migración; migration; Mujer sikuri; music and feminist discourses; música andina</t>
  </si>
  <si>
    <t>Some Andean societies have assigned gender roles to specific musical practices, as is the case of sikuri groups in the Andean highlands, which are made up exclusively of male performers in their places of origin. Migration and intense population displacements of the late Twentieth and early Twenty-first centuries from this area to other cities such as Arequipa, in southern Peru, have led to changes in the makeup of these groups in which the growing presence of female members is observed. The formation of exclusively female groups, thus subverting the order established by the communities in the places of origin. Women seek and use discourses based on new ideologies and constructions of thought that allow them to justify this subversion of the established tradition and notably diversify Sikuris groups' actions, which are engaged in very different activities from those originally associated with the participation of these groups. This study addresses the impact that the incorporation of women into sikuri groups in the city of Arequipa has had, their assimilation strategies, the participation of mixed or female groups in religious or recreational and social interaction activities, as well as restrictions, inequalities, and other vicissitudes in the exercise of their activity. Using the concepts of cultural dynamism, gender studies, tradition, and change in social behaviors associated with music, through the study of the Warmi Sikuri Awka Sisa group, the first entirely female group formed in that city. © 2020. All Rights Reserved.; Algunas sociedades andinas han asignado roles de género a prácticas musicales específicas, como es el caso de los grupos de sikuris en el altiplano andino, que están integrados exclusivamente por intérpretes masculinos en sus lugares de origen. La migración y los desplazamientos poblacionales intensos de finales del siglo XX y comienzos del XXI desde esta zona hacia otras ciudades como Arequipa, en el sur peruano, han motivado cambios en la conformación de estos grupos en donde se observa la creciente presencia de integrantes femeninas y la conformación de conjuntos exclusivamente femeninos, subvirtiendo así el orden establecido por las comunidades en los lugares de origen. Las mujeres buscan y emplean discursos fundamentados en nuevas ideologías y construcciones de pensamiento que les permiten justificar esta subversión de la tradición establecida y diversifican notoriamente la acción de los grupos sikuris incursionando en actividades muy distintas de las que originalmente se asociaba a la participación de estos grupos. El presente estudio aborda el impacto que ha tenido la incorporación de mujeres en los grupos de sikuris en la ciudad de Arequipa, sus estrategias de asimilación, la participación de dichos grupos mixtos o femeninos en actividades de interacción social de tipo religioso o recreativo, así como las restricciones, desigualdades y otros avatares en el ejercicio de su actividad, empleando para ello los conceptos de dinamismo cultural, estudios de género, tradición y cambio en los comportamientos sociales asociados a la música, mediante el estudio del grupo Warmi Sikuri Awka Sisa, primer grupo enteramente femenino conformado en dicha ciudad. © 2020. All Rights Reserved.</t>
  </si>
  <si>
    <t>10.4067/S0719-26812020000300151</t>
  </si>
  <si>
    <t>Javier R.; Marlene B.; Henry H.; Ingrid B.</t>
  </si>
  <si>
    <t>Factors associated with unemployment of Venezuelan migrants in the city of Barranquilla, Colombia; [Factores asociados al desempleo de los migrantes venezolanos en la ciudad de Barranquilla, Colombia]</t>
  </si>
  <si>
    <t>Informality; Migration; Risk factor’s; Unemployment; Vulnerable population</t>
  </si>
  <si>
    <t>Migration is considered a total social phenomenon; since it is a process that involves a large number of consequences, both positive and negative. This article is developed in order to determine the factors associated with the unemployment of the Venezuelan migrant population in the city of Barranquilla in the year 2020. For the methodological development, a total of 2,436 migrants who were beneficiaries of the Pana Foundation were worked on. Yes, located in the department of Atlántico (Colombia), to which an information collection instrument made up of multiple-choice questions was applied. Based on their responses, a correlation analysis was carried out to identify the factors with the highest incidence of unemployed status. The results allow a recognition of the high levels of unemployment present in the Venezuelan population in the city of Barranquilla, at the same time that various elements such as age, sex, documents with which they reside in Colombia are located, which show a correlation with that variable. In conclusion, the study hopes to serve as support for the identification of risk factors of this population vulnerable to unemployment © 2022. Revista de Ciencias Sociales.All Rights Reserved.</t>
  </si>
  <si>
    <t>10.31876/rcs.v28i2.37926</t>
  </si>
  <si>
    <t>Jayne M.; Siying W.; Chenhui W.</t>
  </si>
  <si>
    <t>Mundane urban (im)mobilities: work, domestic, and family lives of migrant building workers in China</t>
  </si>
  <si>
    <t>Urban Geography</t>
  </si>
  <si>
    <t>(im)mobilities; building workers; China; everyday life; Migration</t>
  </si>
  <si>
    <t>Interdisciplinary research from China has generated a wealth of quantitative and qualitative insights into trans-, national, regional, and local migration patterns over long and short distances through attention to diverse topics, socio-economic groups, and case-study locations. Our contribution in this paper is to advance recent critical work that is directing focus from rural-to-urban “circular movements” toward more complex spatialities and temporalities. To add value to that project, we not only engage with studies of urban (im)mobilities per se but also elaborate productive new avenues from across interdisciplinary mobilities research. Specifically, we draw on feminist, materialist, and more-than-representational thinking to highlight the contingent relatedness of migrants’ daily lives across diverse work, domestic, and family times/spaces both within and beyond cities. In doing so, we show how exploration of mundane urban (im)mobilities offers new insights to challenge binary depictions of city/countryside, home/destination, movement/stasis, belonging/marginalization, and moored/unmoordness. The conclusion signposts new research opportunities. © 2024 Informa UK Limited, trading as Taylor &amp; Francis Group.</t>
  </si>
  <si>
    <t>10.1080/02723638.2024.2352316</t>
  </si>
  <si>
    <t>Jensen K.; Arias F.; Nader M.P.</t>
  </si>
  <si>
    <t>Migraciones intra-urbanas postpandemia en el partido de la Plata Post-pandemic intra-urban migrations in la Plata; [Migrações intraurbanas pós-pandêmicas no distrito de La Plata Migrations intra-urbaines post-pandémiques dans La Plata]</t>
  </si>
  <si>
    <t>Migration; Pandemic; Socioterritorial dynamics; Urban planning; Urban space</t>
  </si>
  <si>
    <t>The COVID-19 pandemic and the restrictions applied to the use of public space in La Plata district, due to mandatory social, preventive and isolation (ASPO) during the 2020-2021 period, have led to changes in socio-Territorial dynamics, with direct impact on the urban environment. They are reflected in the growing internal migratory process of certain sectors of the population from the urban area to the periphery. The research is based on a survey used as a data collection instrument in relation to housing needs and deficiencies in the district in the period 2020-2021. After the isolation period, phase II of the survey in the periphery was carried out to identify internal migrations and the process of conformation of the new urbanized areas in the period 2021-2022, with the aim of highlighting intra-urban migrations post-pandemic In this sense, the results show the expansion that occurred in the periphery and how it grew, this situation is very uneven in the different peripheries and in the center due to the possibilities that different inhabitants have. © 2023 Universidad Nacional de Colombia. All rights reserved.</t>
  </si>
  <si>
    <t>10.15446/bitacora.v33n2.106739</t>
  </si>
  <si>
    <t>Jiménez Barrado V.; Prados M.-J.</t>
  </si>
  <si>
    <t>Nature in the showcase. Naturbanization keys in Chile and Spain</t>
  </si>
  <si>
    <t>Counter urbanization; Green Capitalism; Naturbanization; Protected natural areas</t>
  </si>
  <si>
    <t>Naturbanization relates protected natural areas (PNAs) to demographic and economic change, territorial impacts, and the residential function. The purpose of this paper is to identify the triggers of naturbanization. The methodological process examines real estate web sources that showcase offers in PNAs as a business strategy to capture clients and gauges its influence on environmentally aware populations in Chile and Spain through an analysis of data provided by a survey. Results indicate that the attraction of these natural areas also extends to other areas and that environmental awareness is part of a more public discourse that conceals the real estate value that the capitalist model places on nature. Thus, the current dynamics of the real estate market turn naturbanization into a stratagem for conceiving nature as a new commodity. © 2022 The Author(s)</t>
  </si>
  <si>
    <t>10.1016/j.jrurstud.2022.04.006</t>
  </si>
  <si>
    <t>Jiménez F.; Valdivia M.A.; Morales R.V.; Yáñez M.H.</t>
  </si>
  <si>
    <t>Migration and school: Documentary analysis on the incorporation of immigrants into the Chilean educational system; [Migración y escuela: Análisis documental en torno a la incorporación de inmigrantes al sistema educativo chileno]</t>
  </si>
  <si>
    <t>Documentary analysis; Migration; Multiculturalism; Reception programs; School</t>
  </si>
  <si>
    <t>One of the weaknesses of programs aimed at receiving immigrant students into Chilean schools is the absence of educational guidelines that may orient its management and help organizing their incorporation. This study presents the results of a documentary analysis on the schooling of immigrant students. By means of an analysis of semantic content of 82 documentary sources, explanatory categories were constructed allowing to identify certain patterns, tensions and conducting threads. The results analyze the main areas of action (access and enrollment), the nature of the documents (informative and instructive) as well as the predominant approaches to cultural diversity (rights approach and multiculturalism). Findings show the current state as well as the existing challenges for the development of reception strategies that promote greater equity and educational justice. We discuss the need to expand work to other areas, and to promote new approaches to cultural diversity through documents that can advise and guide the work carried out by the educational communities.</t>
  </si>
  <si>
    <t>10.5027/psicoperspectivas-vol16-issue1-fulltext-940</t>
  </si>
  <si>
    <t>Jimenez Palacios, Ricardo; Bachmann Benites, Priscilla Francesca; Loza Delgado, Nicole</t>
  </si>
  <si>
    <t>Informal fairs and commercial labor migration. Notes for the Chilean-Peruvian border corridor debate</t>
  </si>
  <si>
    <t>commercial labor migration; informal fairs; border; Tacna; Arica</t>
  </si>
  <si>
    <t>During the last five years, production has increased over the Chilean Peruvian border. However, the ethnographic deepening of the dynamics of this corridor will allow us to delve into its complex cross-border nature, allowing us to discuss theoretical and methodological proposals. This paper addresses the social, economic and cultural dynamics of the Second-Use Clothing and Footwear Trade Shows on the southern Peruvian border, complementing studies conducted in northern Chile. Finally, the results presented will discuss theoretical assumptions proposed for the Chilean-Peruvian border corridor. In this way, by means of an ethnographic methodology developed based on interview and observation techniques, it is sought to generate evidence of the socio-territorial dynamics manifested in the public sphere of the mentioned fairs. Finally, we will observe that the public sphere itself described allows us to discuss the territorial scales of analysis of the border corridor generating indications to consider a scale that extends to the Peruvian and Bolivian Altiplano.</t>
  </si>
  <si>
    <t>e037</t>
  </si>
  <si>
    <t>10.21670/ref.1916037</t>
  </si>
  <si>
    <t>Jimenez-Lasserrotte, Maria del Mar; Lopez-Domene, Esperanza; Hernandez-Padilla, Jose Manuel; Fernandez-Sola, Cayetano; Fernandez-Medina, Isabel Maria; El Faqyr, Karim El Marbouhe; Dobarrio-Sanz, Iria; Granero-Molina, Jose</t>
  </si>
  <si>
    <t>Understanding Violence against Women Irregular Migrants Who Arrive in Spain in Small Boats</t>
  </si>
  <si>
    <t>HEALTHCARE</t>
  </si>
  <si>
    <t>sexual violence; abuse; sexual exploitation; public health; women irregular migrants; qualitative</t>
  </si>
  <si>
    <t>African irregular migrants risk their lives crossing the Mediterranean Sea in small boats hoping to reach Europe. Women irregular migrants (WIMs) are an especially vulnerable group that suffer from violence and sexual aggression, but little is known about their actual experiences. The objective of our study is to describe and understand the violence against WIMs who arrive in Spain in small boats. A qualitative study based on Gadamer's phenomenology was used. The data collection included twenty-six in-depth interviews with WIMs. Three main themes arose: Poverty and discrimination push WIMs into migrating; WIMs as a paradigm of extreme vulnerability, and WIMs in small boats should raise the alarm. WIMs who arrive to Europe in small boats have a history of violence, rape, prostitution, forced pregnancy, and human trafficking. Emergency care must include gynecological examinations and must make detecting sexual violence and human trafficking of WIMs part of their care protocols.</t>
  </si>
  <si>
    <t>10.3390/healthcare8030299</t>
  </si>
  <si>
    <t>Jimenez-Vargas, Felipe</t>
  </si>
  <si>
    <t>Educational Policies and Migrations. Lessons in Contexts of Advanced Neo-liberalism</t>
  </si>
  <si>
    <t>Intercultural education; empirical research; immigration; educational policy</t>
  </si>
  <si>
    <t>We present the results of a study of schools with a large number of foreign students. Set in the framework of an educational system characterized by a model of advanced neo-liberalism, this study uses qualitative techniques like participant observation, shadowing, the analysis of documents and interviews, and points to a group of adaptive practices of resistance, which give rise to three shifts which clash with the mandates of the model: an affective shift, a collaborative shift and a localist shift. Our findings highlight the role of teachers in implementing educational inclusion. This study also discusses the role which diversity plays nowadays in the structure of schools.</t>
  </si>
  <si>
    <t>10.11144/Javeriana.m15.peml</t>
  </si>
  <si>
    <t>Jiménez-Yañez C.; Martínez-Soto Y.; Rosas-Martínez P.</t>
  </si>
  <si>
    <t>Violence on the journey. Graphic expressions of undocumented migrants in northern Mexico; [Violencias en la travesía. Expresiones gráficas de migrantes indocumentados en el norte de México]</t>
  </si>
  <si>
    <t>Revista Guillermo de Ockham</t>
  </si>
  <si>
    <t>drawing; irregular migration; migration; undocumented migrants; violence; vulnerability</t>
  </si>
  <si>
    <t>Referring to undocumented migration in northern Mexico is to talk about violence. Every year, thousands of people migrate irregularly, starting their journey from the south to the north on a train (The Beast) and risking their lives in search of better opportunities that their places of origin cannot offer them. It is in this journey that migrants must face a series of problems, dangers, abuses, and violence that expose a palpable but politically silenced reality. The objective of this work is to identify, through drawings, the most significant elements of the experience of undocumented migrants in northern Mexico and their relationship with the violence experienced. Therefore, this article addresses the concepts of undocumented migration and violence from the theoretical discussion, contrasting them with the experience of the migrants themselves and their drawings. The research was carried out in three cities in northern Mexico and included the participation of 39 undocumented migrants, who drew what they perceive for migration based on their experiences. The drawings showed that transit through Mexico is marked by different forms of abuse, violence, and human rights violations, establishing a social paradox where the good ones are the "bad ones" and the bad ones are the “good ones”. © 2022 The authors.</t>
  </si>
  <si>
    <t>10.21500/22563202.5625</t>
  </si>
  <si>
    <t>Jirón P.; Imilán W.A.; Lange C.; Mansilla P.</t>
  </si>
  <si>
    <t>Placebo urban interventions: Observing Smart City narratives in Santiago de Chile</t>
  </si>
  <si>
    <t>planning; public space; smart cities; social justice; technology; theory; urban knowledge</t>
  </si>
  <si>
    <t>The implementation of the Smart City (SC) model in Santiago, Chile has not heralded any significant interventions in terms of scale, urban impact, amount invested, technological innovation or architectural design. Instead, material interventions have been small and have had little more than a superficial impact upon the perceptions of citizens. The significance of observing ‘Smart’ interventions in Santiago involves analysing their implementation under a provincialising lens in order to observe the way local experience transforms monist ways of thinking about SCs. Based on ethnographic observation of an SC intervention (in Paseo Bandera, Santiago de Chile), four principles of intervention were identified: democratisation of the city, spatial appropriation by citizens, social and technological innovation and local and territorialised interventions. These principles help to identify the intervention as an urban placebo, which the article argues works through the fictions of effective interventions and urban image improvement that seek to participate in worlding practices whilst, in reality, very little is being improved or effectively addressed in the city. Paseo Bandera SC intervention presents a narrative of modern, sustainable and technologically advanced urban planning in the form of specific material interventions, when in fact it involves very little modernity, sustainability or technology, and is little more than a continuation and evolution of the neoliberal urban model that exists in Chile. © Urban Studies Journal Limited 2020.</t>
  </si>
  <si>
    <t>10.1177/0042098020943426</t>
  </si>
  <si>
    <t>Jo, Hee-Moon</t>
  </si>
  <si>
    <t>Constitutionalizing Trans-Border Nationhood: From Latin American Perspectives</t>
  </si>
  <si>
    <t>ASIAN JOURNAL OF LAW AND SOCIETY</t>
  </si>
  <si>
    <t>migration law; constitutionalization; network-power theory; diaspora-engagement policy; Argentina; Brazil; Chile; Colombia; Mexico</t>
  </si>
  <si>
    <t>The relationship between state and absent citizens is becoming more important since the globalization of the 1990s. Countries usually try to increase the number of their citizens through two methods. The first is by increasing the number of nationals living abroad using a dual-nationality system. The second is by expanding national power through dual culturalism. These methods increase the international capacity of the home state through the expansion of thede factostate territory from the perspective of network-power theory. Latin American countries have been relatively passive in this diaspora-engagement policy, but recently they have begun to show an active attitude by revising their migration policy-amendments to the Constitution and migration law, dual nationality, dual culturalism, voting rights abroad, and upgrading the status of diaspora agencies, etc. However, it is still unclear how the multinational and multi-ethnic Latin American countries conceptualize diaspora. This paper analyzes the diaspora-engagement policy of Latin American countries from the standpoint of network-power theory and tries to find out what its theoretical framework is. This paper concludes that the theorization work on diaspora should continue to track and analyze these policy changes, since it is difficult to understand what the diaspora concept is and what policy objectives the state is pursuing under the current diaspora-engagement policy.</t>
  </si>
  <si>
    <t>PII S2052901519000251</t>
  </si>
  <si>
    <t>10.1017/als.2019.25</t>
  </si>
  <si>
    <t>Johnson M.; Lindquist J.</t>
  </si>
  <si>
    <t>Care and Control in Asian Migrations</t>
  </si>
  <si>
    <t>Ethnos</t>
  </si>
  <si>
    <t>Asia; care; control; Migration</t>
  </si>
  <si>
    <t>This article takes the relationship between care and control as a starting point for ethnographically approaching the dynamics of Asian migrations. The pairing of care and control allows for a description of how migration takes shape through the historical development of entangled relationships–ranging from the supportive to the coercive–rather than strictly through dyadic relationships, social networks, structural forces, or as an effect of push-pull factors. Asian migration is thus approached as a socio-political field that is shaped through emerging forms of care and control which is shaped and constrained, for instance, by the state, market, social relations, brokers, and fellow travellers. © 2019, © 2019 The Author(s). Published by Informa UK Limited, trading as Taylor &amp; Francis Group.</t>
  </si>
  <si>
    <t>10.1080/00141844.2018.1543342</t>
  </si>
  <si>
    <t>Joiko S.; Saavedra A.C.</t>
  </si>
  <si>
    <t>Hierarchies, assimilationism and resistances: Migratory experiences in the educational field in the Norte Grande of Chile; [Jerarquías, asimilacionismo y resistencias: Experiencias migratorias en el campo escolar del Norte Grande de Chile]</t>
  </si>
  <si>
    <t>Bourdieu; Chilean Great North; coloniality; families; migration</t>
  </si>
  <si>
    <t>This article is based on two qualitative studies conducted in two cities in northern Chile, aimed to identify and describe the discourses on migrant families and students that exist in the educational context. To do this, the authors use and articulate two theoretical currents: the concept of coloniality of power coined and developed by Anibal Quijano in conjunction with Pierre Bourdieu's theory of social practice. Grounded on the analysis and linking of the data from both studies, the article suggests that the discourses produced about migrant families are related with a hierarchy according to their national origin. Likewise, these social hierarchies are reproduced as a form of racism, and as a process of assimilationism both from families and schools, framed in a logic of internal colonialism. However, it is also possible to observe some resistance strategies of migrant families as a way of responding to these discourses. © 2022 Pontificia Universidad Catolica de Valparaiso. All rights reserved.</t>
  </si>
  <si>
    <t>10.5027/psicoperspectivas-vol21-issue1-fulltext-2525</t>
  </si>
  <si>
    <t>Joiko, Sara</t>
  </si>
  <si>
    <t>Parenting strategies in the context of South-South migration</t>
  </si>
  <si>
    <t>BRITISH JOURNAL OF SOCIOLOGY OF EDUCATION</t>
  </si>
  <si>
    <t>Bourdieu; parenting; Latin America; migration; strategies; decolonial critical interculturality</t>
  </si>
  <si>
    <t>Given the lack of studies regarding migrant parents' views towards the education system of their host countries in an era of global movement, this article focuses on the strategies deployed by Latin American migrant parents towards their children's schooling in the Chilean educational field. To understand these strategies in the context of south-south migration, the article is informed by Pierre Bourdieu's theory and a decolonial critical interculturality framework (DeCI). The article concludes that three processes can be distinguished from the point of view of migrant parents regarding their schooling experience, which link to issues around accessing, adjusting and transforming. Additionally, the notion of parents as a source of knowledge emerged strongly among migrant parents as a way of transmitting their cultural capital in the context of migration.</t>
  </si>
  <si>
    <t>10.1080/01425692.2021.1872363</t>
  </si>
  <si>
    <t>Construction of border subjectivities of children by Chilean educational policies in contexts of migration</t>
  </si>
  <si>
    <t>educational policies; migration; critical interculturality; border studies, Latin America</t>
  </si>
  <si>
    <t>The article aims to critically analyze how educational policies at the national level have contributed to the pre-construction of a certain type of subject that would be influencing the educational experiences of migrant children and adolescents or children of migrants, with a special focus on the Norte Grande of Chile. In particular, the article is based on a qualitative study where semi-structured interviews with key informants and a systematization of public policies were carried out. Two theoretical currents are articulated for the theoretical-empirical work: border studies and critical interculturality. From the analysis, it is concluded that the different forms of pre-figuration of a certain type of subject that is reproduced through educational policies directly influence the inclusion of migrant children and adolescents or children of migrants both in their teaching-learning processes and in the relationships established within the educational communities. These dimensions are related to the adult-centeredness present in public policies; the hierarchization according to sociocultural aspects and the insistence on the narrative of children's legality.</t>
  </si>
  <si>
    <t>10.14507/epaa.31.7671</t>
  </si>
  <si>
    <t>Joiko, Sara; Vásquez, Alba</t>
  </si>
  <si>
    <t>Acceso y elección escolar de familias migrantes en Chile: No tuve problemas porque la escuela es abierta, porque acepta muchas nacionalidades</t>
  </si>
  <si>
    <t>family; inclusion; interculturality; migration; school choice</t>
  </si>
  <si>
    <t>In terms of migration, Chile could be considered a nation that sends more migrants than it receives, as almost one million people have emigrated in the past, and for every immigrant who lives in Chile, three Chileans live abroad. However, over the past 25 years, there has been an increase in the number of people migrating to Chile. This movement has not only involved adults in search of better conditions and opportunities, but also school-age children and adolescents. Hence, in a context characterized by a quasi-market education model in which school choice plays a major role in defining the school experience for students and their families, the aim of this paper is to explore how choosing a school can act as a form of inclusion into the education system and the broader society, based on the idea that schools can be potential sites of both social exclusion and inclusion.</t>
  </si>
  <si>
    <t>45</t>
  </si>
  <si>
    <t>Jokela M.</t>
  </si>
  <si>
    <t>Macro-level determinants of paid domestic labour prevalence: A cross-national analysis of seventy-four countries</t>
  </si>
  <si>
    <t>Social Policy and Society</t>
  </si>
  <si>
    <t>care work; comparative research; Domestic workers; income inequality; migration</t>
  </si>
  <si>
    <t>The growing demand for domestic workers has been linked to several global developments, such as an ageing population, income inequality, the growth of women entering labour markets, migration and changes in the provision of care. However, empirical quantitative evidence for these associations is still scarce. This study examines how macro-level factors related to care needs (female employment rates and proportion of aged population), labour markets (proportion of migrants and vulnerable employment) and economic characteristics (gross domestic product, income inequality and level of urbanisation) are associated with the prevalence of paid domestic labour across seventy-four countries. Data are derived from the statistics compiled by the International Labour Organization (ILO). Results show that a higher prevalence of paid domestic workers is particularly associated with greater income inequality, but also with a higher proportion of migrants. The association with income inequality remained unchanged after controlling for six other variables related to the demand and supply of domestic services. These findings suggest that income inequality is a crucial factor in determining the proportion of domestic workers in the labour force. © 2014 Cambridge University Press.</t>
  </si>
  <si>
    <t>10.1017/S1474746414000487</t>
  </si>
  <si>
    <t>Jokisch, Brad D.; Radel, Claudia; Carte, Lindsey; Schmook, Birgit</t>
  </si>
  <si>
    <t>Migration matters: How migration is critical to contemporary human-environment geography</t>
  </si>
  <si>
    <t>GEOGRAPHY COMPASS</t>
  </si>
  <si>
    <t>Human migration plays a critical role in numerous contemporary environmental concerns including global climate change and environmental justice. This review characterizes the ways migration is critical to contemporary human-environment geography. We delineate four themes from the literature based on (a) how migration affects the environment; (b) how the environment and/or environmental events affect migration; (c) how migration produces uneven environmental benefits and burdens; and (d) how environmental displacement/dispossession produces migration and vice versa. We articulate five recommendations for a research agenda that integrates migration processes, recognizes migration as a heterogeneous process, and approaches human-environment interactions holistically and non-deterministically.</t>
  </si>
  <si>
    <t>e12460</t>
  </si>
  <si>
    <t>10.1111/gec3.12460</t>
  </si>
  <si>
    <t>Jonas I.; Noël J.-F.</t>
  </si>
  <si>
    <t>Chilean exile seen from « the inside »⋯ 40 years on</t>
  </si>
  <si>
    <t>Visual Ethnography</t>
  </si>
  <si>
    <t>Chile; Decoration pictures photographs; Domestic space; Exile</t>
  </si>
  <si>
    <t>In our research project, entitled "A t the heart of the city: analysing the pulse of the Plaça de Catalunya in Barcelona" and financed by the Inventory of Ethnological Heritage of Catalonia (IPEC), which belongs to the Department of Culture of the Catalan government, the question of images and sounds was central. After our fieldwork, the question of how to present our work arose; we did not want to do it through text alone. The idea then was gradually born of the multimedia format presented here, which is part of a more general reflection on the attention to be paid to sounds and images for the analysis and understandin g of contemporar y urban life.</t>
  </si>
  <si>
    <t>10.12835/ve2014.1-0032</t>
  </si>
  <si>
    <t>Jones, Bill</t>
  </si>
  <si>
    <t>LABOUR MIGRATION AND CROSS-CULTURAL ENCOUNTERS: WELSH COPPER WORKERS IN CHILE IN THE NINETEENTH CENTURY</t>
  </si>
  <si>
    <t>WELSH HISTORY REVIEW</t>
  </si>
  <si>
    <t>The transference of copper-smelting technology from the Swansea area that accompanied the development of the world copper industry in the nineteenth century has yet to be studied in detail. This article begins to redress this omission by focusing largely on a micro-history of Welsh copper smelters who migrated to Guayacan, near Coquimbo in Chile, in the middle decades of the nineteenth century. It examines the development of a Welsh labour presence in Guayacan and the dynamics of the migration, including motives, networks and recruitment processes. It also explores how the possession of industrial skills shaped cultural and religious encounters between the Welsh and Chileans.</t>
  </si>
  <si>
    <t>Jorquera-Martínez, Carolina</t>
  </si>
  <si>
    <t>Políticas públicas y derecho a la educación de niños, niñas y adolescentes extranjeros en Chile</t>
  </si>
  <si>
    <t>right to education; migration; public policies</t>
  </si>
  <si>
    <t>AbstractThe objective of the present article is to evaluate from a qualitative approach- by documental analysis- the adjustment of the current educational public policies in Chile, the incorporation to the school system of foreign boys, girls and teenagers (NNA). We are assuming that the recognition of sociocultural diversity is part of the dimensions in order to get an education quality. The results show that the devices that regulate education in Chile globally consider no discrimination and universal access to it. However, there is a lack of explicit regulations that can mediate the incorporation of foreign students considering their administrative and educational needs. The main recommendation, given the discoveries, it’s related to explicitly stating this dimension, generating procedures, instances and resources that allow a positive integration of this kind of students, ensuring the achievement of their comprehensive learnings.</t>
  </si>
  <si>
    <t>10.15517/aie.v17i1.27297</t>
  </si>
  <si>
    <t>Jose Mera-Lemp, Maria; Martinez-Zelaya, Gonzalo; Bilbao, Marian</t>
  </si>
  <si>
    <t>Chilean teenagers faced with Latin American immigration: acculturative profiles, prejudice, cultural self-efficacy and well-being</t>
  </si>
  <si>
    <t>REVISTA DE PSICOLOGIA PUCP</t>
  </si>
  <si>
    <t>Acculturation; Host society; Prejudice; Cultural self-efficacy; Wellbeing</t>
  </si>
  <si>
    <t>The new solo-cultural scenario produced by immigration in schools implies a complex process of psychosocial adjustment. National students must also face diverse and new challenges as a result of immigration, which are linked to the perception and management of cultural differences. This paper aims to identify acculturative profiles in a sample (N = 426) of Chilean secondary school students. Cluster analysis allowed us to find a solution of three acculturative profiles (Tolerant Individualist, Undifferentiated Individualist and Undifferentiated Ethnocentric). Results show that these profiles differ in their levels of Affective Prejudice, Cultural Self -efficacy, and Well-being. These findings stress the importance of promoting social environments which could improve positive intergroup contact to enable the development of intercultural competence from early stages of life.</t>
  </si>
  <si>
    <t>10.18800/psico.202102.012</t>
  </si>
  <si>
    <t>Jose Perez-Alvarez, M.; Vasquez, Rodrigo A.; Moraga, Rodrigo; Santos-Carvallo, Macarena; Kraft, Sebastian; Sabaj, Valeria; Capella, Juan; Gibbons, Jorge; Vilina, Yerko; Poulin, Elie</t>
  </si>
  <si>
    <t>Home sweet home: social dynamics and genetic variation of a long-term resident bottlenose dolphin population off the Chilean coast</t>
  </si>
  <si>
    <t>ANIMAL BEHAVIOUR</t>
  </si>
  <si>
    <t>genetic diversity; male-biased dispersal; mtDNA; population dynamics; residence patterns; sociogenetics; Tursiops truncatus</t>
  </si>
  <si>
    <t>Coastal resident and pelagic nonresident bottlenose dolphins, Tursiops truncatus, have been described in north-central Chile. Using long-term residence data (over 13 years of photo-identification) and genetic mtDNA information, we analysed the social dynamics through time and the genetic variation of this long-term resident population, and evaluated its sociogenetic interaction with nonresidents. Pelagic nonresident dolphins exhibited a higher level of genetic diversity than coastal residents and a significant difference in genetic structure was detected between them. Based on the difference in haplotype numbers and frequencies between resident and nonresident populations and between resident males and females, we propose a population dynamic model in which the resident population is composed of (1) resident females (founder lineages) and some of their female descendants that were born in and remained in the group, without effective female immigration from the nonresident population, (2) resident male descendants of the founder lineage that were born in and remained in the group and (3) resident males that were incorporated from the pelagic groups. Male-biased migration from nonresident pelagic groups into the resident population likely contributes to genetic variation and therefore may help limit inbreeding in the resident population. Finally, we propose that the peripatric model of population differentiation, where resident groups are sporadically connected to the pelagic population, may explain the origin of this unique resident population of bottlenose dolphins along the Chilean coast. (c) 2018 The Authors. Published by Elsevier Ltd on behalf of The Association for the Study of Animal Behaviour.</t>
  </si>
  <si>
    <t>10.1016/j.anbehav.2018.03.009</t>
  </si>
  <si>
    <t>Jose, Navarro-Conticello; Emilio, Moyano-Diaz</t>
  </si>
  <si>
    <t>Maximizacion, pesar, bienestar y salud en migrantes sudamericanos residentes en el valle central de Chile</t>
  </si>
  <si>
    <t>international migration; maximizing; regret; well-being; health</t>
  </si>
  <si>
    <t>Maximizing, regret, well-being and health in South American migrants residing in the central valley of Chile. The decision to emigrate is complex and has important consequences. Those who emigrate are usually the most educated and least satisfied with their situation in their country of origin. However, their decision-making styles, whether they experience regret when deciding, and how is this associated with their well-being and health, are unknown. This is analyzed in 261 adult South American migrants, mostly Venezuelans, of both sexes, residing in Talca (Chile), chosen by availability, who answered instruments to measure decisional styles, regret, well-being, and health. A strong tendency to maximization, high regret, high well-being and a very favorable health self-evaluation are observed. There are also significant, positive associations of maximization with regret (.374, p = .01), with well-being (.161, p = .009) and with three domains of health-related quality of life (.174, p = .005; .169, p = .006; .212, p = .001). The results are discussed, and new studies are suggested.</t>
  </si>
  <si>
    <t>Jubilut L.L.; Carneiro W.P.</t>
  </si>
  <si>
    <t>Resettlement in solidarity: A new regional approach towards a more humane durable solution</t>
  </si>
  <si>
    <t>Refugee Survey Quarterly</t>
  </si>
  <si>
    <t>Brazil; Durable solutions; Latin America; Mexico Plan of Action; Resettlement in solidarity</t>
  </si>
  <si>
    <t>As part of the Mexico Plan of Action, and with the Colombian conflict in the background, Latin American States adopted the idea of resettlement in solidarity in 2004, leading to the emergence of a new approach to a traditional durable solution. The idea has been translated into practice in Brazil, Chile, Argentina, and Uruguay. Resettlement in solidarity is an idea in progress that, if successful, can lead to both a new approach to refugee protection in light of acute refugee crises and to a new model of dialogue among States and actors involved in refugee protection. An analytical assessment of its main ideas is therefore in order. This article thus examines a case study of resettlement in solidarity, focusing on Brazil, in order to ascertain whether, in the future, this new regional solution can be effective in establishing a more humane approach to resettlement and, thus, be in keeping with the most protective standards of human dignity. © The Author [2011]. All rights reserved.</t>
  </si>
  <si>
    <t>10.1093/rsq/hdr010</t>
  </si>
  <si>
    <t>Julián-Vejar D.; Velásquez F.B.; Sanhueza C.A.</t>
  </si>
  <si>
    <t>The Concept of Precariousness in Labour Studies in Chile; [El concepto de precariedad en los estudios del trabajo en Chile]</t>
  </si>
  <si>
    <t>bibliometrics; Chile; job insecurity; network analysis; science maps</t>
  </si>
  <si>
    <t>This paper uses a bibliometric perspective to explore research on labour and job insecurity in Chile. To this end, we constructed a database with indexed publications and their authors to build maps of the science and collaborative networks behind the publications meeting the search criteria. We analyzed the thematic groupings behind the studies of job insecurity in Chile by applying co-word networks to establish thematic groupings. The results obtained allow us to identify certain common issues in labour studies where there are emerging consolidated issues in research groups. © 2023 Colegio de Mexico, A.C., Departamento de Publicaciones. All rights reserved.</t>
  </si>
  <si>
    <t>10.24201/es.2024v42.e2337</t>
  </si>
  <si>
    <t>Julio, Andrea Urbina</t>
  </si>
  <si>
    <t>'In-betweenness': migrants experience accessing rental housing in the innerburbs neighborhoods of Santiago, Chile</t>
  </si>
  <si>
    <t>HOUSING STUDIES</t>
  </si>
  <si>
    <t>Housing tenure; rental market; informal housing</t>
  </si>
  <si>
    <t>Migration movements have been happening worldwide, and Latin America has also been part of this global phenomenon, particularly through increased intraregional migration. Chile has emerged as an economically appealing destination, leading to a rapid rise in migration, posing substantial challenges for Chilean cities. The central question guiding this paper is: How is the migrant experience of accessing housing through the informal rental market in the innerburbs areas of Santiago, Chile? This research considers a descriptive analysis of migrants in Santiago, followed by the analysis of the experience of migrants accessing the informal rental market in three districts of Santiago (Conchali, Cerro Navia, and El Bosque) looking at (1) the available housing supply in online advertisements and (2) analyzing interviews with migrants and key actors. This article argues that migrants residing in innerburbs areas experience a state of 'in-betweenness' under a 'gray' housing status. This notion considers the legal and spatial aspects of being in an intermediate position.</t>
  </si>
  <si>
    <t>10.1080/02673037.2024.2322124</t>
  </si>
  <si>
    <t>Kalawski A.; Serra D.</t>
  </si>
  <si>
    <t>Las cosas que no pasan: Relato de una transmigración</t>
  </si>
  <si>
    <t>Journal of Iberian and Latin American Research</t>
  </si>
  <si>
    <t>Chile; Identity; Migration; Peru; Transmigration</t>
  </si>
  <si>
    <t>Migration, as a global phenomenon, has become a relevant subject to understand the contemporary world. One of the categories that would allow understanding new migration experiences is "transmigration": the manner of being in two places at once, made possible by technological, economic and cultural changes. Although migration between Peru and Chile is crucial to comprehend the present relationship between both countries, the viewpoint of transmigration has not yet been developed in extant research. This article seeks to move forward in that direction, also incorporating oral testimonies from the protagonists of these transnational movements. This maneuver allows us to consider new elements of the Peruvian-Chilean migration, and allows a reflection on the concept of transmigration more as the expression of a possible stage than just as a fixed identity, acknowledging the experiences of the actors involved. © 2016 Association of Iberian and Latin American Studies of Australasia (AILASA).</t>
  </si>
  <si>
    <t>10.1080/13260219.2016.1229805</t>
  </si>
  <si>
    <t>Kashkinbayeva A.T.; Korganova S.S.; Gabdulina B.A.; Takibayev M.A.; Kuzembayeva A.O.</t>
  </si>
  <si>
    <t>Historical Fate of Balkan Ethnic Groups in Kazakhstan: Past and Present; [Destino histórico de los grupos étnicos balcánicos en Kazajistán: pasado y presente]</t>
  </si>
  <si>
    <t>Revista Iberoamericana de Viticultura Agroindustria y Ruralidad</t>
  </si>
  <si>
    <t>Balkans; Bulgarians; deportation; ethnos; Greeks; migration</t>
  </si>
  <si>
    <t>Balkan Peninsula Diaspora appeared in Kazakhstan at the end of the XIX century. Firstly, the Bulgarian nationality moved, and then Greeks moved. Among the peoples of the Balkan Peninsula, the fate of the Greeks and Bulgarians is typically common for Kazakhstan. The fact that the Balkans people collided with the land of Central Asia was comprehensively influenced by political, economic, and ideological factors. Adapted to the nature and economy of the new region, the Balkan ethnic groups have retained their identity. Today, the fourth generation of these ethnic groups lives in independent Kazakhstan as a fully functioning Diaspora of Balkan people. Problems of their resettlement and arrangement are one of the topics that have not been studied in history despite being one of the most important in migration and resettlement questions of this territory. In this research work the history of Balkan ethnic groups in Kazakhstan was analyzed on the basis of archival and scientific materials. © 2023 Nordic Journal of Migration Research. All rights reserved.</t>
  </si>
  <si>
    <t>10.35588/rivar.v10i29.5826</t>
  </si>
  <si>
    <t>Kawarazuka N.; Doss C.R.; Farnworth C.R.; Pyburn R.</t>
  </si>
  <si>
    <t>Myths about the feminization of agriculture: Implications for global food security</t>
  </si>
  <si>
    <t>Global Food Security</t>
  </si>
  <si>
    <t>Gender; Intersectionality; Labor; Migration; Productivity</t>
  </si>
  <si>
    <t>The term “feminization of agriculture” is used to describe changing labor markets that pull men out of agriculture, increasing women's roles. However, simplified understandings of this feminization persist as myths in the literature, limiting our understanding of the broader changes that affect food security. Through a review of literature, this paper analyses four myths: 1) feminization of agriculture is the predominant global trend in global agriculture; 2) women left behind are passive victims and not farmers; 3) feminization is bad for agriculture; and 4) women farmers all face similar challenges. The paper unravels each myth, reveals the complexity of gendered power dynamics in feminization trends, and discusses the implications of these for global food security. © 2022 The Authors</t>
  </si>
  <si>
    <t>10.1016/j.gfs.2022.100611</t>
  </si>
  <si>
    <t>Khozaei F.; Carbon C.-C.; Abd Razak N.</t>
  </si>
  <si>
    <t>Determinants of mental disorders of Afghan migrants during the COVID-19 pandemic</t>
  </si>
  <si>
    <t>International Journal of Migration, Health and Social Care</t>
  </si>
  <si>
    <t>Burden of COVID-19; Depression; Mediator; Mental disorder; Migration; Stress</t>
  </si>
  <si>
    <t>Purpose: Afghan migrants are at an increased risk of mental disorders due to various political, economic and security-associated stressors. COVID-19 has brought extra concerns for this group of migrants around the world. Few studies have examined how the perception of the host society and perceived stress are associated with the mental health of migrants during the COVD-19 pandemic. This study aims to examine the role of perceived justice, freedom and the burden of COVID-19 on experienced stress and depression among Afghan migrants in Iran. Design/methodology/approach: N = 497 participants representing the Afghan migrant community between 15 and 80 years old participated in the study. The target population was recruited from Afghan migrants residing in Kerman city in Iran, the capital of one of the provinces with the highest number of Afghan migrants in Iran. The participants answered questions on depression, positive mental health and a series of stressors such as perceived justice, freedom and the burden of COVID-19. Data was collected in November and December 2021 during the third wave of the COVID-19 pandemic in Iran. Findings: The authors found a significant effect of the burden of the COVID-19 pandemic on migrants’ perceived stress and depression. On the other hand, perceptions of justice and freedom in the host country can significantly reduce stress and depression. The results show that stress mediates the effect of justice, freedom and the burden of COVID-19 on depression. In addition, positive mental health moderates the impact of stress on depression. Originality/value: The current study is one of the pioneering studies that examines the determinants of Afghan migrants’ mental disorders during the COVID-19 pandemic in Iran. © 2022, Emerald Publishing Limited.</t>
  </si>
  <si>
    <t>10.1108/IJMHSC-04-2021-0040</t>
  </si>
  <si>
    <t>Klaesson, Johan; Lopez, Esteban; Oner, Ozge</t>
  </si>
  <si>
    <t>Who Works Longer - and Why? Regional and Individual Characteristics in the Timing of Retirement</t>
  </si>
  <si>
    <t>TIJDSCHRIFT VOOR ECONOMISCHE EN SOCIALE GEOGRAFIE</t>
  </si>
  <si>
    <t>ageing; timing of retirement; regional and individual factors</t>
  </si>
  <si>
    <t>Who works longer - and why? This paper investigates the characteristics of people that stay longer in the workforce, even beyond the time they are eligible to retire. In our regional analysis, we use an 11-year balanced panel of 290 Swedish regions. In the individual analysis, we use a large individual level panel to apply Cox proportional hazard estimates on risk' of entering retirement. Our results show a large gender difference: women tend to retire earlier than men. Between employees and entrepreneurs, entrepreneurs retire later. People in larger regions tend to retire later. Higher house prices, and the share of small firms in a region correlate with a lower likelihood of retirement. The local tax rate and the share of blue-collar workers in a region is significantly related to lower retirement age. A high average wage, commuting intensity, and high human capital in a region is associated with later retirement.</t>
  </si>
  <si>
    <t>10.1111/tesg.12295</t>
  </si>
  <si>
    <t>Klasen S.; Villalobos C.</t>
  </si>
  <si>
    <t>Diverging identification of the poor: A non-random process. Chile 1992–2017</t>
  </si>
  <si>
    <t>Household ineligibility; Identification of the poor; Measures of association; Monetary poverty; Multidimensional poverty</t>
  </si>
  <si>
    <t>This paper investigates the degree of association in the identification of the poor between the standard monetary FGT poverty measure and the Alkire-Foster Multidimensional Poverty Index. For this purpose, we use a measure of redundancy in the identification of the poor between the two poverty measures (R0). In Chile, over the past 25 years, R0 has declined at a rate of 1.5% per year. The decline is unimportant during the 1990s, a decade of rapid economic growth, while it is notable thereafter, in a period characterized by modest economic growth and the progressive introduction and deepening of social policies. The conditional correlation between socio-economic and demographic characteristics with R0 is examined at the province and household levels. After controlling for the household non-eligibility across some of the indicators of the multidimensional poverty index, we find that the divergence in the identification of the poor seems to be a real process which is not randomly distributed across the population. It is correlated with education improvements, increasing urbanization, and reduction in household size. On the basis of our results, we argue that this divergence may be a more general phenomenon that tends to occur in countries undergoing demographic transition, urbanization, and progress in education. If so, and given the fact that poverty alleviation strategies are adopted partly on the basis of poverty statistics, the diverging identification of the poor might have distributive consequences for the poor. © 2020 Elsevier Ltd</t>
  </si>
  <si>
    <t>10.1016/j.worlddev.2020.104944</t>
  </si>
  <si>
    <t>Klaufus C.</t>
  </si>
  <si>
    <t>Watching the city grow: Remittances and sprawl in intermediate central American cities</t>
  </si>
  <si>
    <t>Environment and Urbanization</t>
  </si>
  <si>
    <t>Housing market; Intermediate cities; Migration; Remittances; Sustainable urbanization; Urban planning</t>
  </si>
  <si>
    <t>The largest share of Latin American population lives in cities with less than half a million inhabitants. Since the publication of the Brundtland Report in the 1980s, small and intermediate cities have been regarded as places that hold out a promise for sustainable urban development. This paper explores current urbanization trends in intermediate cities in Central America. It describes the construction boom of gated communities for the middle class, in majority people with access to migrant remittances. It is argued that sustainable urbanization is challenged by the privatization of urban planning. The lack of strong governmental coordination of the housing market along with urban growth puts pressure on natural resources and on the livability of cities that used to be characterized by their human scale and rich natural environment. It is suggested that the market of existing housing should be made more attractive in order to control urban growth and prevent an oversupply of new expensive middle-class homes in the periphery, paralleled by a large number of abandoned existing houses in the urban core. © 2010 International Institute for Environment and Development (IIED).</t>
  </si>
  <si>
    <t>10.1177/0956247809359646</t>
  </si>
  <si>
    <t>Klinthäll M.; Lindström M.</t>
  </si>
  <si>
    <t>Migration and health: A study of effects of early life experiences and current socio-economic situation on mortality of immigrants in Sweden</t>
  </si>
  <si>
    <t>Early life conditions; GDP per capita; Immigrant mortality; Infant mortality rate; Socio-economic status; Sweden</t>
  </si>
  <si>
    <t>Objectives. Previous research has demonstrated mortality differences between immigrants and natives living in Sweden. The aim of this study is to investigate the effects of early life conditions in the country of birth and current socioeconomic conditions in adult life in Sweden on cardiovascular, cancer, all other cause and total mortality among immigrants and natives in Sweden. Design. The cohort data concerning individual demographic characteristics and socio-economic conditions stems from the Swedish Longitudinal Immigrant Database (SLI), a register-based representative database, and consists of individuals from 11 countries of birth, born between 1921 and 1939, who were residents in Sweden between 1980 and 2001. The associations between current socioeconomic conditions as well as infant mortality rates (IMR) and Gross Domestic Product (GDP) per capita in the year and country of birth, and total, cardiovascular, cancer and 'all other' mortality in 1980-2001 were calculated by survival analysis using Cox proportional hazards regression to calculate hazard rate ratios. Results. The effects of current adult life socio-economic conditions in Sweden on mortality are both stronger and more straightforward than the effects of early life conditions in the sense that higher socio-economic status is significantly associated with lower mortality in all groups of diagnoses; however, we find associations between infant mortality rates (IMR) in the year and country of birth, and cancer mortality among men and women in the final model. Conclusions. Socioeconomic conditions in Sweden are more strongly associated with mortality than early life indicators IMR and GDP per capita in the year of birth in the country of origin. This finding has health policy and other policy implications. © 2011 Taylor &amp; Francis.</t>
  </si>
  <si>
    <t>10.1080/13557858.2011.602392</t>
  </si>
  <si>
    <t>Knudson K.J.; Torres C.M.</t>
  </si>
  <si>
    <t>Migration and Paleomobility in the Face of Environmental Change and Political Collapse: Case Studies from San Pedro de Atacama, Northern Chile</t>
  </si>
  <si>
    <t>Interdisciplinary Contributions to Archaeology</t>
  </si>
  <si>
    <t>Atacama Desert; Migration; Oxygen isotopes; Paleomobility; Strontium isotopes</t>
  </si>
  <si>
    <t>In the South Central Andes, the transition between the Middle Horizon (~CE 500–1100) and Late Intermediate Periods (~CE 1100–1400) is characterized by political collapse as well as environmental change, including a severe drought. Here, we investigate migration and paleomobility during this tumultuous time in the San Pedro de Atacama oases of northern Chile. We present an isotopic identification of the geographic origins of numerous individuals buried in San Pedro de Atacama cemeteries during both the Middle Horizon and the subsequent Late Intermediate Period, utilizing radiogenic strontium and stable oxygen isotope data from archaeological human remains. Overall, we argue that the San Pedro de Atacama oases appear to be have been inhabited by culturally and biologically diverse groups in addition to the predominant local population and does not seem to indicate the migration of large numbers of colonists from the Tiwanaku capital and surrounding Lake Titicaca Basin. Moreover, following the collapse of the Tiwanaku polity, a more homogeneous population with less evidence of migration characterizes the Late Intermediate Period in the San Pedro de Atacama oases. We argue that detailed and long-term studies of migration and paleomobility can provide a unique perspective on the role of migration during times of environmental change and political collapse. © 2023, Springer Nature Switzerland AG.</t>
  </si>
  <si>
    <t>Part F729</t>
  </si>
  <si>
    <t>10.1007/978-3-031-32268-6_11</t>
  </si>
  <si>
    <t>Krakow C.A.</t>
  </si>
  <si>
    <t>The international law and politics of water access: Experiences of displacement, statelessness, and armed conflict</t>
  </si>
  <si>
    <t>Water (Switzerland)</t>
  </si>
  <si>
    <t>Armed conflict; Displacement; Hannah arendt; Human right to water; International law; MENA; Middle east; Migration; Statelessness; Water governance; Water justice; Water law</t>
  </si>
  <si>
    <t>This article analyses international law regarding the human right to water as it impacts people who are stateless, displaced, and/or residents of armed conflict zones in the contemporary Middle East. Deficiencies in international law, including humanitarian, water, human rights, and criminal law, are examined to demonstrate international law's strengths and weaknesses for functioning as a guarantor of essential rights for vulnerable groups already facing challenges resulting from ambiguous legal statuses. What are the political factors causing lack of water access, and what international legal protections exist to protect vulnerable groups when affected by water denial? The analysis is framed by Hannah Arendt's assertion that loss of citizenship in a sovereign state leaves people lacking "the right to have rights", as human rights are inextricably connected to civil rights. This article demonstrates that stateless/displaced persons and armed conflict zone residents are disproportionately impacted by lack of water, yet uniquely vulnerable under international law. This paper offers unprecedented analysis of international criminal law's role in grappling with water access restrictions. I challenge existing "water wars" arguments, instead proposing remedies for international law's struggle to guarantee the human right to water for refugees/internally displaced persons (IDPs). Examples include Israel/Palestine, Syria, Iraq, and Yemen. A key original contribution is the application of Arendt's theory of the totalising impacts of human rights violations to cases of water access denial, arguing that these scenarios are examples of environmental injustice that restrict vulnerable persons' abilities to access their human rights. © 2020 by the authors.</t>
  </si>
  <si>
    <t>10.3390/w12020340</t>
  </si>
  <si>
    <t>Kruuse, Martina Baeza</t>
  </si>
  <si>
    <t>Student mobility of Colombian residents in Rennes, France: profile of migrants and reasons for such choice (2018-2019)</t>
  </si>
  <si>
    <t>Colombia; France; globalization; Rennes; social mobility; student mobility; transnational migration</t>
  </si>
  <si>
    <t>This article is based on a sociological research conducted in France, that sought to find the key elements to understand the reasons for the progressive and significant increase of students of Colombian origin at the Universite Rennes 2, located in the Bretagne region. From the analysis of statistical data from the Observatoire de la Mobilite Internationale and the Institut National d'Etudes Demographiques (INED), and the research of the profile and motivations of Colombian students arriving in Rennes, this work allowed a better understanding of the effects of globalization and internationalization of higher education (De Wit, 2011) on Colombian students, where migration becomes a way to achieve social mobility for this group. France is one of the European countries that allows study mobility projects to materialize, thanks to the easy access to higher education for international students, the assistance they can receive, linked to accommodation and food, and the advantages available to students to perform jobs in the service sector (cleaning, catering, care, etc.), at the same time they study. This article focuses on two central points of the research. First, the profile or individual characteristics of Colombian students who decide to leave for France, among which we can highlight mainly economic and social factors, that would be the reasons that led individuals to make the decision to migrate. In second place, we delve into the elements that are relevant at choosing the city to arrive, evidencing the reason for the decision to arrive in Rennes. To conclude, the main reflections obtained after analysing these elements, three aspects related to the increase of Colombian students in the city of Rennes are distinguished, those are linked to the profile of the students who arrive in France, the factors that motivate them to leave their home country and the elements that influence the choice of Rennes as a host city.</t>
  </si>
  <si>
    <t>10.15446/rcs.v45n2/92708</t>
  </si>
  <si>
    <t>Kuc-Czarnecka M.; Saltelli A.; Olczyk M.; Reinert E.S.</t>
  </si>
  <si>
    <t>Free trade with the former COMECON countries as unequal exchange</t>
  </si>
  <si>
    <t>A Modern Guide to Uneven Economic Development</t>
  </si>
  <si>
    <t>Asymmetric integration; Central and Eastern European (CEE) countries; De-industrialisation; Migration</t>
  </si>
  <si>
    <t>This chapter offers different narratives about the benefit of both free trade and the enlargement of the European Union in 2004-2007 for Central and Eastern European (CEE) countries. We compare old, pre-2004 EU countries against CEE countries that became part of the EU in 2004-2007. We also look at CEE countries that have not become part of the EU: Belarus, Moldova, and Ukraine. Two periods are considered: a first one from the end of the Eastern European Trade zone (COMECOM) in 1991 to the present day, and a second one following the enlargement 2004-2007. Our analysis identifies unfavourable outcomes: the CEE countries that have lost in the process of integration in the economies of both the European Union and the world. We identify a similar pattern of de-industrialisation and migration taking place in Latin America resulting from the free-trade shock that started in the 1970s. © Erik S. Reinert and Ingrid Harvold Kvangraven 2023.</t>
  </si>
  <si>
    <t>10.4337/9781788976541.00021</t>
  </si>
  <si>
    <t>Kynsilehto A.</t>
  </si>
  <si>
    <t>Afterword: on communities, language, and everyday (academic) citizenship</t>
  </si>
  <si>
    <t>academic citizenship; belonging; intersectionality; Migration; translation</t>
  </si>
  <si>
    <t>10.1080/13621025.2021.1968726</t>
  </si>
  <si>
    <t>La Barbera, MariaCaterina; Wences, Isabel</t>
  </si>
  <si>
    <t>THE POLYSEMY OF GENDER DISCRIMINATION IN THE IACTHR JURISPRUDENCE: TOWARDS THE ELIMINATION OF STRUCTURAL GENDER DISCRIMINATION THROUGH TRANSFORMATIVE REPARATIONS*</t>
  </si>
  <si>
    <t>EUROPEAN JOURNAL OF LEGAL STUDIES</t>
  </si>
  <si>
    <t>Gender discrimination; structural gender discrimination; intersectionality; Inter-American Court of Human Rights; reparations and non-repetition measure</t>
  </si>
  <si>
    <t>This article focuses on the jurisprudence of the Inter-American Court of Human Rights (IACtHR) on structural gender discrimination and transformative reparations. It dwells on feminist legal and political analysis on the multiple meanings of gender discrimination and distinguish three feminist categories -that have been incorporated in the International Human Rights Law- that respectively focus on the disadvantaged group (' women approach '), the discriminatory structure that produces disadvantage (' gender approach '), and the combined effects of different grounds of discrimination (' intersectionality approach '). The article is novel for its use of the polysemy of gender discrimination as a lens to analyze strengths and weaknesses of three emblematic cases of the IACtHR: Gonzalez et al. (' Cottonfield ')v.Mexico,AtalaRiffov.Chile,andGonzalesLluyetal.v.Ecuador.(' Cottonfield ') v. Mexico, Atala Riffo v. Chile, and Gonzales Lluy et al. v. Ecuador. Our analysis shows that the IACtHR refers to different meanings of gender discrimination in the interpretation of the facts, on the one hand, and in the reparation and non-repetition measures, on the other. Our findings allow us to suggest that the pathway to strengthen the role of the Inter-American Court towards the elimination of gender structural discrimination is to issue transformative reparations that include the reforms of the legal and institutional gender-blind framework that maintain and reproduce such discrimination. This study is not only relevant for the Inter-American systems but also for the European Court of Human Rights and the African Court on Human and People ' s Rights that can use the IACtHR jurisprudence as a model.</t>
  </si>
  <si>
    <t>10.2924/EJLS.2023.014</t>
  </si>
  <si>
    <t>Labarca C.; Werner-Wildner P.</t>
  </si>
  <si>
    <t>Chileans in China and How They View Their Role in Public Diplomacy: Between Entrepreneurship and State Policies</t>
  </si>
  <si>
    <t>Palgrave Macmillan Series in Global Public Diplomacy</t>
  </si>
  <si>
    <t>Business-led diaspora; Chile; China; Diaspora; Motivations; Public diplomacy; Social capital; State-diaspora interactions</t>
  </si>
  <si>
    <t>Since the Free Trade Agreement between China and Chile took effect in 2006, a Chilean business-led diaspora has been growing in mainland China. Using a qualitative thematic analysis, and through perspectives gathered during 19 semi-structured, in-depth interviews, this chapter describes this diaspora community’s characteristics, motivations, identities, and levels of social capital. It also explores its contributions to public diplomacy efforts promoted by the Chilean government in China. By doing this, this chapter avoids the traditional focus on the political dimensions of diasporas to instead explore business-centered state-diaspora interactions. © 2021, The Author(s), under exclusive license to Springer Nature Switzerland AG.</t>
  </si>
  <si>
    <t>10.1007/978-3-030-74564-6_5</t>
  </si>
  <si>
    <t>Laborda-Contreras, Alonso; Gonzalez-Lopez, Juan; Assael-Budnik, Jenny; Vargas-Perez, Sebastian</t>
  </si>
  <si>
    <t>School Choice of Immigrant Families in a Commune of Santiago</t>
  </si>
  <si>
    <t>Chile; migration; education; educational choice; educational opportunities</t>
  </si>
  <si>
    <t>In recent decades, the number of immigrant students in Chile has grown significantly and their school choice process has become an emerging and relevant issue for the inclusion of immigrant families in Chilean schools. The objective of this research is to analyze such process, from a qualitative approach, through in-depth interviews and travel maps with five immigrant families from two public schools at Santiago de Chile. We described the determinants and dynamics of the school choice process of five families. Our findings reinforced the importance of emotions in this process.</t>
  </si>
  <si>
    <t>10.11144/Javeriana.m15.eefi</t>
  </si>
  <si>
    <t>Ladino M.T.; Concha N.L.; Gatica Y.C.</t>
  </si>
  <si>
    <t>The emergence of a circulatory territory on the Chile-Peru border: The study of socio-spatial border practices; [El surgimiento de un territorio circulatorio en la frontera chileno-peruana: Estudio de las prácticas socio-espaciales fronterizas]</t>
  </si>
  <si>
    <t>Border; Circulation; Migration; Mobility; Socio-spatial practices</t>
  </si>
  <si>
    <t>This article presents the results of a survey conducted at the Chacalluta border crossing on Chile’s northern border with Peru. Based on the survey, data collected by the police, and secondary sources, we postulate that although the Chile-Peru border separates the two countries, the socio-spatial border practices of the Chileans and Peruvians who cross and inhabit the border between Tacna and Arica produce a circulatory territory that generates cross-border continuity at the territorial level. Drawing on the survey results, we examine the profiles of these border crossers, their motivations, and the ways that they cross and provide a description of the socio-spatial productive and reproductive practices identified. All of this allows us to visualize the emergence of a circulatory territory as a result of the diversity of mobilities. © 2017, Revista de Geografia Norte Grande. All rights reserved.</t>
  </si>
  <si>
    <t>Ladino M.T.; Gatica Y.C.; Espinoza C.S.</t>
  </si>
  <si>
    <t>Transborder mobility, mobile and multi-stranded subjects in the access to housing. The cases of Iquique, Alto Hospicio and Antofagasta; [Mobilité frontalière, sujets mobiles et multi-ancrés dans l'accès au logement. Les cas: Iquique, Alto Hospicio et Antofagasta]; [Movilidad fronteriza, sujetos móviles y multianclados en el acceso de la vivienda. Los casos: Iquique, Alto Hospicio y Antofagasta]</t>
  </si>
  <si>
    <t>Anales de Geografia de la Universidad Complutense</t>
  </si>
  <si>
    <t>Cross border; Housing; Mobility; Residential fix</t>
  </si>
  <si>
    <t>Employing a geographical approach to transborder mobility, this article aims to analyze the border movements of Peruvians and Bolivians who live in the northern cities of Chile (Iquique and Antofagasta) and their access to housing. We propose the thesis that these migrant subjects transit across the border area mainly for labor reasons and due to wage differences associated with crossing the frontier. Thus, the proximity to their place of origin, the possibility of going, returning or staying, their life cycle, as well as the conditions of precarious work and of the housing to which they have access, make them, in many cases, mobile and multi-stranded subjects. Mobility is viewed as the ability to move around the city and frontier area and stranded is observed through the meaning acquired by the housing and access to it. The research is based on 16 in-depth interviews conducted within the framework of a larger investigation, thus identifying the most important aspects in the mobility and circular movements of migrants. © 2021 Universidad Compultense Madrid. All rights reserved.</t>
  </si>
  <si>
    <t>10.5209/AGUC.77004</t>
  </si>
  <si>
    <t>Lahoz I Ubach, Sònia; Forns I Santacana, Maria</t>
  </si>
  <si>
    <t>Discriminación percibida, afrontamiento y salud mental en migrantes peruanos en Santiago de Chile</t>
  </si>
  <si>
    <t xml:space="preserve"> PSICOPERSPECTIVAS</t>
  </si>
  <si>
    <t>perceived discrimination; mental health; coping strategies; migration</t>
  </si>
  <si>
    <t>The transactional stress paradigm conceptualizes perceived discrimination as a stress inductor that may have negative consequences for mental health and which calls for the development of coping strategies. This study examines discrimination as perceived by the Peruvian immigrant population that has settled in Santiago de Chile, both as a group and as individuals, and its relationship with coping strategies and mental health. To carry out this research we used a snowball sampling approach. Subjects were three hundred and fifty-five Peruvian immigrants ages eighteen to fitfty-eight years old living in Santiago, who answered a battery of tests focused on covering the variables of interest. Results show that the perception of discrimination is greater at the group level than at the personal level. People who perceive that they are being discriminated tend to use more cognitive avoidance strategies, which do not bear relationship with symptomatology. We can thus conclude that the use of these strategies may have a shielding role against the effects of perceived personal discrimination</t>
  </si>
  <si>
    <t>10.5027/psicoperspectivas-Vol15-Issue1-fulltext-613</t>
  </si>
  <si>
    <t>Lamas-Aicon, Macarena; Thibaut, Patricia</t>
  </si>
  <si>
    <t>Educational Continuity and Funds of Knowledge of Venezuelan families in Chile</t>
  </si>
  <si>
    <t>REVISTA INTERNACIONAL DE EDUCACION PARA LA JUSTICIA SOCIAL</t>
  </si>
  <si>
    <t>Founds of knowledge; Educational continuities and discontinuities; Family-school relationship; Migration; Social justice</t>
  </si>
  <si>
    <t>The number of foreign students in educational establishments has increased in recent years. In this context, this study asks about the Funds of Knowledge (FoK) of Venezuelan families living in the south of Chile, as well as about the continuities/discontinuities with the educational practices of the Chilean public school. Using qualitative methodology with an ethnographic focus, a total of fifteen interviews were carried out with five Venezuelan families, in addition to two group interviews with the teachers of the schools where the children of these family's study. The results obtained through content analysis indicate: high continuity of practices, means and ends between families and schools; high appreciation by teachers of these migrant families, in relation to the sophisticated Fok they possess associated with their cultural capital and their good school performance, in contrast to local schoolchildren. This suggests greater continuity between Venezuelan households and schools than between Chilean households and schools. In this sense, the adherence to social justice highlights the need to also attend to the contexts in which local students are developing, considering integrating their own FoK into curricular projects.</t>
  </si>
  <si>
    <t>10.15366/riejs2021.10.1.003</t>
  </si>
  <si>
    <t>Landabur, Rodrigo; Sirlopu, David</t>
  </si>
  <si>
    <t>Contact quality and positive attitudes towards immigrants: The moderation of generalised trust</t>
  </si>
  <si>
    <t>INTERNATIONAL JOURNAL OF PSYCHOLOGY</t>
  </si>
  <si>
    <t>Contact; Generalised trust; Intergroup attitude; Immigration</t>
  </si>
  <si>
    <t>In the context of international migration, intergroup contact has been widely recognised as a strategy for enhancing host populations' positive attitudes towards immigrants. However, the moderating factors that influence this association have been relatively understudied. In this research, we propose that generalised trust plays a significant role as a moderator in the relationship between the quality and quantity of intergroup contact and the positive attitudes of Chileans towards Peruvian and Venezuelan immigrants. We hypothesize that both types of contact will be associated with more positive attitudes towards immigrants in hosts with generalised trust (vs. no generalised trust). Using a sample of 916 Chilean participants, we conducted a linear regression analysis to test our hypotheses, and results show us a moderation effect only with contact quality. These findings have theoretical and practical implications, particularly in understanding how the moderation effect of generalised trust can contribute to improving intergroup attitudes.</t>
  </si>
  <si>
    <t>10.1002/ijop.13107</t>
  </si>
  <si>
    <t>Landeros Jaime F.J.</t>
  </si>
  <si>
    <t>Conversion and transmission of capital in a migration context: Ethnography with migrant families in chile; [Conversión y transmisión de capital en un contexto migratorio: Etnografía con familias migrantes en chile]</t>
  </si>
  <si>
    <t>Chile; Cultural capital; Family; Latin America; Migration</t>
  </si>
  <si>
    <t>The article aims to analyze the different strategies of conversion and transmission of cultural capital that parents use in the family structure to provide immigrant children the tools that allow them to face problems associated with the migration process. Following the capital concept in their different states, this research is oriented to analyze through the families’ daily life how its members transmit cultural capital to the children in the host country. This research uses a qualitative methodology, including interviews and ethnographic fieldwork, to obtain data and information about Latin American migrant families living in Santiago, Chile. The findings show differences not only in capital transmission strategies but also in the conversions that precede them. © 2020, El Colegio de la Frontiera Norte. All rights reserved.</t>
  </si>
  <si>
    <t>10.33679/rmi.v1i1.2094</t>
  </si>
  <si>
    <t>Landeros Jaime, Francisco J.</t>
  </si>
  <si>
    <t>The violence during the life course of Venezuelan migrant women in Chile</t>
  </si>
  <si>
    <t>female migration; violence; course of life; Venezuela; Chile</t>
  </si>
  <si>
    <t>During the last years, the female migration from Venezuela has been characterized by leads family migrant projects to Santiago of Chile. In this sense, the aim of this article is analyzing the events that provoked different changes during the life of Venezuelan women, motivating leave their home country to search better life condition in a different place. Using a qualitative approach, which deep interviews were the main technique to gather data, this analysis focus on histories of life of migrant women highly educated and skilled whose paths are immersing in violence episodes. The findings show that different kind of problems that forced them out from Venezuela yet are part of their daily life despite that they have migrated to Chile between 2016-2019, it represents an opportunity to design representative public policy oriented to help migrant communities in the host society.</t>
  </si>
  <si>
    <t>e086</t>
  </si>
  <si>
    <t>10.21670/ref.2202086</t>
  </si>
  <si>
    <t>Lara E., Antonia</t>
  </si>
  <si>
    <t>“El alisado es lo más propio de la mujer dominicana”: prácticas ritualizada y mimética del “brushing dominicano”</t>
  </si>
  <si>
    <t>Female migration;daily practices ;miscegenation ideology; racialization</t>
  </si>
  <si>
    <t>Abstract: Around the socio-cultural practice of hair straightening for women of African descent, a field of debate has been formed regarding its interpretation. In light of this debate, some of the results of an ethnographic investigation are presented, which sought to describe and analyze, in the context of the immigration of Dominican women to Chile, the practices of hair straightening in hairdressing salons in an area of the commune of Estación Central. There, it was identified that the hair straightening and "Dominican brushing" is configured as a ritualized and mimetic practice in the body of the Dominican woman, of a valuative and normative discourse of colonial subjection and nationalist ideology. The aforementioned operates in an order of hierarchies of valorization on the "arrangement" of women that, located in Santiago, allows them to dispute in a national, racial and gender key with Colombian, Haitian, as well as Peruvian and Chilean women.</t>
  </si>
  <si>
    <t>10.32735/s0718-6568/2020-n55-1443</t>
  </si>
  <si>
    <t>Lara Edwards, Antonia</t>
  </si>
  <si>
    <t>Subjectivities in displacement: body and accent in migratory movements</t>
  </si>
  <si>
    <t>Subjectivity; Dislocation; Accent; Migration</t>
  </si>
  <si>
    <t>From the notions of dislocation and provisionality in which Sayad (1998) locates the coordinates of the migratory movement, this paper focuses on problematize the ways in which displacement touches the subjectivity of those who are its protagonists. In particular, the body and the register of the voice and the accent, will be placed as a way of inquire about subjectivity in migration. In this purpose, it is argued that the accent can be understood as a subjective production in the crossing between the voice, as object of the invoking drive (Lacan, 2007), and the nation, as a political and social reference. From that, folds of subjectification (Deleuze,2015) are made that leave marks in the transit of the subject through migration.</t>
  </si>
  <si>
    <t>Lara Escalona, María Daniela</t>
  </si>
  <si>
    <t>Evolución de la legislación migratoria en Chile claves para una lectura (1824-2013)</t>
  </si>
  <si>
    <t>Revista de historia del derecho</t>
  </si>
  <si>
    <t>Immigration law; Migrants; History; Foreigners</t>
  </si>
  <si>
    <t>We can observe three phases in the history of immigration law in Chile. These phases can be demonstrated by the meaning of the law in each period. In the beginning of the Republic, the legislation was directed towards the colonization of land through selected migrants. A second phase begins with the military dictatorship, where the main objective was the expulsion and prohibition of entry of foreigners and nationals considered dangerous. A third phase begins with the return of democracy, where there is openness to migration with a focus in the economy but with asynchronies. These phases are found in the legislation of each period and are explained in detail in this paper, which can be a valuable input for future research about migration in latinamerican countries.</t>
  </si>
  <si>
    <t>Lara, Adolfo Bejar</t>
  </si>
  <si>
    <t>Sobrevivientes: testimonial literature, Haitian migrants, and Mexico's racial imagination</t>
  </si>
  <si>
    <t>Haitian migration; US-Mexico border; Mexico; Testimonio; testimonial literature; Sobrevivientes</t>
  </si>
  <si>
    <t>Since 2010, Haitian migration to non-traditional destinations such as Brazil and Chile intensified. After a series of shifts in Brazilian and Chilean immigration policies that restricted and criminalized Haitian migrants, many Haitians began seeking asylum elsewhere. That is in this context that Haitian refugees began arriving in Mexico in the past ten years, which presented a challenge to the political, cultural, and racial Mexican imaginary about immigration. Through the critical reading of Sobrevivientes: ciudadanos del mundo, a testimonial narrative written by Pascal Ustin Dubuisson, a Haitian asylum seeker, I argue that 'testimonio,' as a genre, offers a space of critical reflection to better understand the connections between dispossession, exploitation, and forcible displacement in the continent. In so doing, Dubuisson's account also requires us to reconsider the limits of testimonio, its political project of emancipation, to critically engage with the history of anti-Blackness and anti-Black immigration restriction in Latin America.</t>
  </si>
  <si>
    <t>10.1080/17442222.2024.2306119</t>
  </si>
  <si>
    <t>Lara, Antonia</t>
  </si>
  <si>
    <t>Configuration of identities in migratory contexts: investigation of daily practices in Dominican hairdressing salons in Santiago de Chile</t>
  </si>
  <si>
    <t>Dominican migration; gender; ethnography; daily practices; identity; intersectionality</t>
  </si>
  <si>
    <t>The purpose of this article is to contribute to the field of study on identity configuration in migratory contexts, by investigating daily practices carried out in hairdressing salons in Santiago de Chile. The above was carried out through ethnographic research for 18 months (2015 and 2016). It was obtained that the hairdressing space is organized around the practice of Afro hair straightening and the so-called Dominican brushing, which together with ways of using the hairdressing salons, generate belonging and, at the same time, differences and hierarchies between women, produced in the intersectionality between nationality, gender and race. From the hairdressing salon as an attempt at their own place, disputes, resistance and transactions are generated with the local context. A limitation of this article is not to account for the male perspective, its practices and conceptions regarding the beauty work of the body.</t>
  </si>
  <si>
    <t>e049</t>
  </si>
  <si>
    <t>10.21670/ref.2007049</t>
  </si>
  <si>
    <t>Perspectiva de atención psicoterapéutica a personas en situación de refugio</t>
  </si>
  <si>
    <t>REMHU: REVISTA INTERDISCIPLINAR DA MOBILIDADE HUMANA</t>
  </si>
  <si>
    <t>psychotherapeutic care; refugee; Chile</t>
  </si>
  <si>
    <t>Abstract The present article aims to give an account of a perspective of approach in psychotherapeutic care to Latin American refugees, build through the systematization of clinical experience in the area of migration, interculturality and refuge (AMIR), from a university Center. Thus, the central axes of the perspective are presented and discussed with the psychological traditions that tend to psychopathologize the migratory experience. To then deepen, in light of a clinical case, in the problems in the installation of the transference with people in a refugee situation.</t>
  </si>
  <si>
    <t>10.1590/1980-85852503880005507</t>
  </si>
  <si>
    <t>Lara, Antonia; Quezada, Javiera; Jimenez Aguayo, Francisco; Cabrera Correa, Jorge</t>
  </si>
  <si>
    <t>Subjective Malaise and Psychosocial Problems: Latin American and Caribbean Migrant Women in Santiago de Chile</t>
  </si>
  <si>
    <t>Migration; Latin America; mental health; women's studies; participatory research</t>
  </si>
  <si>
    <t>This article aims to present the research results about the subjective malaise that afflict Latin American and Caribbean migrant women in Santiago de Chile, expressed by them in mental health promotion workshops. through the Systematization of Experience of teams implementing workshops (belonging to two Universities), the registration of the participation of women in the workshops (carried out between 2016 and 2019) and semi-structured interviews with five of them, it is analyzed the subjective impact that the psychosocial problems faced in Chile have had on women. Four problem areas were identified in which the discomforts expressed by them are inscribed, such as the feeling of deception and frustration, feelings of impairment and fragility, as well as feelings of loneliness and shame. The conclusions that we present here seek to contribute to the field of studies on female migration in the Latin American region, specifically to the problems of mental health.</t>
  </si>
  <si>
    <t>e47808</t>
  </si>
  <si>
    <t>10.15517/c.a..v18i2.47808</t>
  </si>
  <si>
    <t>Lara, Antonia; Stang, Fernanda</t>
  </si>
  <si>
    <t>The experience of estrangement in migratory movements: migration as a journey of subjectivation</t>
  </si>
  <si>
    <t>cultural identifications; border; foreignness; otherness; south-south migrations; estrangement; subjectivation</t>
  </si>
  <si>
    <t>Based on the findings of two different studies on international migration processes within Latin America (south-south), which had as their destination the city of Santiago (Chile), we reflect on the experience of estrangement from oneself and from each other. The others in these migratory movements, understanding it as an interpellation that promotes processes of subjectivation linked to the condition of foreignness, which emerged as a finding in both investigations. The exploration of this idea is carried out from migration stories constructed through fieldwork in both studies, of a qualitative nature: the first of them recurred to the construction of migration stories of Dominican women, while the second used stories of Life of Peruvian and Colombian migrants with non-heteronormative sex-generic subjectivations. The objective of this paper is to describe those experiences to delineate this notion of estrangement in migratory processes, paying attention to the subjective impacts that this experience impresses on the migrant. The tour allows us to conclude that he faces the experience of what does not fit and the estrangement from oneself, which comes from the image of otherness that the host society returns to him. Faced with this, he reacts by making additions, resistances or adjustments to his ways of doing, often in a situational and strategic way to achieve his goals, in which he is not necessarily fully identified. These experiences promote processes of reflection about their identity image that open up new enunciative positions and transformations in the processes of subjectivation.</t>
  </si>
  <si>
    <t>10.5565/rev/papers.2922</t>
  </si>
  <si>
    <t>Lazaro E.; Agergaard J.; Larsen M.N.; Makindara J.; Birch-Thomsen T.</t>
  </si>
  <si>
    <t>Urbanisation in Rural Regions: The Emergence of Urban Centres in Tanzania</t>
  </si>
  <si>
    <t>European Journal of Development Research</t>
  </si>
  <si>
    <t>Agricultural value-chain dynamics; Migration; Settlement growth; Tanzania; Urbanisation in rural regions</t>
  </si>
  <si>
    <t>This paper focusses on urbanisation in rural regions of Africa, and in particular on the type of settlement growth that occurs not in proximity to, but rather disassociated from, existing urban centres. What characterises such settlements is that they are generally not acknowledged as urban entities, but are involved in an administrative process in which they form part of a larger entity that is about to be given urban administrative status; to capture this process, the concept of emerging urban centres is suggested. The empirical analysis focusses on how rural Tanzania is urbanising. By comparing four different growth trajectories, it is illustrated how settlement growth varies due to different pre-conditions and due to specific dynamics of crop value chains. It is also shown how migration to the settlements and the establishment of businesses are part of this growth and gradually occur detached from the crop value-chain dynamics. In conclusion, it is identified how these developments produce challenges to existing governance systems, and finally it is discussed how the findings provide new insights into debates on rural transformation and the fuzzy distinction between rurality and urbanity. © 2018, European Association of Development Research and Training Institutes (EADI).</t>
  </si>
  <si>
    <t>10.1057/s41287-018-0185-9</t>
  </si>
  <si>
    <t>Le Joliff T.C.</t>
  </si>
  <si>
    <t>The racialized body of the migrant in La fila india by Antonio Ortuño and Ciudad berraca by Rodrigo Ramos Bañados; [El cuerpo racializado del migrante en La fila India de antonio ortuño y ciudad berraca de rodrigo ramos bañados]</t>
  </si>
  <si>
    <t>Body; Illness; Materiality; Migration; Race; Testimony</t>
  </si>
  <si>
    <t>Examining the treatment of the body in migration literature in La fila india (2013) by Antonio Ortuño and Ciudad berraca (2018) by Rodrigo Ramos Bañados is the purpose of the following paper. I will use the concept of corpographèse (corpography) as an inscription of the body as meaning, and above all the projection on the racialized body of the political and social dysfunctions of Mexico and Chile. Globalization stimulates migratory flows while denaturing migrant bodies. Violence applied to the migrant body finds a correlate in the rescue of the testimony that the literary text operates. Stateless, the migrant subject can recover his or her place in history and territory as well as acquire a double belonging through the materiality of writing. © 2020 Universidad de Playa Ancha de Ciencias de la Educacion. All rights reserved.</t>
  </si>
  <si>
    <t>Leal M.L.H.; Acevedo E.C.M.; Rubio G.A.E.</t>
  </si>
  <si>
    <t>Interculturation and Multiterritoriality: Resistance and Resilience Strategies of Venezuelan Migrants Re-Settled in Cúcuta, Colombia; [INTERCULTURACIÓN Y MULTITERRITORIALIDAD: ESTRATEGIAS DE RESISTENCIA Y RESILIENCIA DE PERSONAS MIGRANTES VENEZOLANAS ASENTADAS EN CÚCUTA, COLOMBIA]</t>
  </si>
  <si>
    <t>America Latina Hoy</t>
  </si>
  <si>
    <t>border; interculturation; migration; multiterritoriality; territory</t>
  </si>
  <si>
    <t>This article identifies the sociocultural interactions that Venezuelan migrants weave in their settlement process in Cúcuta, Colombia, the main receiving border city. It is an investigation that features a phenomenological approach; non-participant observation, content analysis of press releases and life stories. Given the proximity of Colombia, migration is assumed to be an opportunity that helps configures strategies of resistance and resilience based on interculturation and multi-territoriality,. © 2023, Ediciones Universidad de Salamanca. All rights reserved.</t>
  </si>
  <si>
    <t>10.14201/alh.28589</t>
  </si>
  <si>
    <t>Leal-Landeros, Joselin; Rodríguez-Valdivia, Alan</t>
  </si>
  <si>
    <t>Cartografía social de Chapiquiña: reivindicando los derechos territoriales indígenas en los Altos de Arica, Chile</t>
  </si>
  <si>
    <t>Íconos. Revista de Ciencias Sociales</t>
  </si>
  <si>
    <t>social cartography; territory; rural-urban; community of Chapiquiña; northern Chile</t>
  </si>
  <si>
    <t>Abstract This study attempts to demonstrate how methods of social cartography can serve as a political tool for the re-vindication of indigenous rights. This study employed methods of social cartography to map indigenous territorial knowledge in the indigenous community of Chapiquiña in northern Chile as a process of re-appropriation of ancestral territory. Methods of social cartography serve to make visible mental “geo-graphies” which are invisible to the Chilean state. This process led us to infer the hypothesis that the process of rural-urban migration from these Aymara communities to the city of Arica is not a process of indigenous de-territorialization. Instead we argue that these processes represent the transformation and construction of contemporary rural-urban Aymara territory.</t>
  </si>
  <si>
    <t>61</t>
  </si>
  <si>
    <t>10.17141/iconos.61.2018.3384</t>
  </si>
  <si>
    <t>Leal, Arlette; Palomera, Adriana; Norambuena, Carmen</t>
  </si>
  <si>
    <t>Protection and Refuge in Brazil and Chile: the Case of Palestinian Refugees-an Analysis from the Model of Economic and Cultural Adaptation</t>
  </si>
  <si>
    <t>Refugee; Protection; Resettlement; Chile; Brazil</t>
  </si>
  <si>
    <t>From the beginning of the independent history of Brazil and Chile, both countries have hosted immigrants. This predisposition had been ratified in the last decade when the United Nations High Commissioner for Refugees (UNHCR) asked Latin American countries to settle a group of Palestinian families that were under their protection and both, Brazil and Chile responded favorably. In this process, Brazil, which accepted 109 refugees in 2007, and Chile, which accepted 116 refugees in 2008, presented differences and similarities in the measures applied in the protection of these refugees, evidenced in the programs used and in the role of inter-ministerial committees. This paper examines the measures applied for the protection of Palestinian refugees in Brazil and Chile from 2007 to 2011 through the refugees' adaptation model of Michael Lanphier and tests if this model can be applied in developing countries, such as Latin American countries.</t>
  </si>
  <si>
    <t>10.1007/s12134-019-00696-7</t>
  </si>
  <si>
    <t>Leh O.L.H.; Mohd Noor M.H.C.; Marzukhi M.A.; Mohamed Musthafa S.N.A.</t>
  </si>
  <si>
    <t>Social impact of agro-tourism on local Urban residents. Case study: Cameron Highlands, Malaysia</t>
  </si>
  <si>
    <t>Planning Malaysia</t>
  </si>
  <si>
    <t>Agro-tourism; Impact; Migration; Opportunity; Social</t>
  </si>
  <si>
    <t>Agro-tourism is a new tourism product introduced in Malaysia based on agricultural attraction. Cameron Highlands is the largest agricultural based highland resort area in Malaysia. The cool climate, farms, and natural environment make Cameron Highlands a famous tourist destination. Agrotourism has become one of the important economic sectors in Cameron Highlands. The study is aimed to examine the social impact of the agro-tourism industry on the local urban residents in Cameron Highlands. A questionnaire survey was carried out among the local urban residents to examine the social impact based on the respondents' experience and perceptions. A sample of 100 respondents were selected from three main urban settlements in Cameron Highlands. The social impacts were analysed based on the changes over the period of five (5) years. The study covered four (4) main aspects, i.e. safety, job and business opportunity, migration, and social-cultural (language, religious and educational level). The findings indicate that the local urban residents were positively and also negatively affected by the agro-tourism activities and development in Cameron Highlands. Proper planning and policies are crucial to manage the agro-tourism and related development in Cameron Highlands.</t>
  </si>
  <si>
    <t>Leinaweaver J.B.</t>
  </si>
  <si>
    <t>Outsourcing care: How Peruvian migrants meet transnational family obligations</t>
  </si>
  <si>
    <t>Andes; Anthropology; Child fostering; Elder care; Migration; Peru; Transnationalism</t>
  </si>
  <si>
    <t>Migration from Peru has increased dramatically over the past decade, but the social and relational repercussions of these transnational movements have not yet been fully explored. Examination of the way migrants manage their responsibilities to dependent kin in Peru reveals that child fostering makes it possible for adults to migrate in search of better work opportunities by ensuring care for their children and company for their older relatives. For Peruvians engaging in labor migration, child fostering tempers some of the challenges of continuing to participate in established social networks from a distance. © 2010 Latin American Perspectives.</t>
  </si>
  <si>
    <t>10.1177/0094582X10380222</t>
  </si>
  <si>
    <t>Leiva Gómez, Sandra; Mansilla Agüero, Miguel Ángel; Comelin Fornes, Andrea</t>
  </si>
  <si>
    <t>Condiciones laborales de migrantes bolivianas que realizan trabajo de cuidado en Iquique</t>
  </si>
  <si>
    <t>work; care; migration</t>
  </si>
  <si>
    <t>Abstract: It is increasingly common for Chileans to hire foreign domestic workers to care for dependent individuals in their households. Migrant domestic workers generally leave their children in the care of another person in their country of origin, thus creating global care chains. Labor conditions are analyzed through interviews conducted in the city of Iquique with Bolivian domestic workers who provide care services without a work permit. This situation can lead to precarious work conditions, long workdays and mistreatment. The authors conclude that national legislation must address the cases of workers in border areas in order to provide adequate legal protection for Bolivian domestic workers in Iquique. Second, they find that changes to the domestic workers law could be beneficial for caregivers in the border area as this would provide for the exchange of days off, allowing them to make frequent visits to the children left behind in Bolivia. Third, innovative migratory policies could be designed, such as freeing certain migrants from the work permit requirement when they are performing work that the country urgently needs and for which the migrant population provides a solution.</t>
  </si>
  <si>
    <t>Leiva Gómez, Sandra; Ross Orellana, César</t>
  </si>
  <si>
    <t>Migración circular y trabajo de cuidado: Fragmentación de trayectorias laborales de migrantes bolivianas en Tarapacá</t>
  </si>
  <si>
    <t>care; circular migration; labor trajectories; migration; work</t>
  </si>
  <si>
    <t>In the Tarapacá Region of Chile, Bolivian migrant women are frequently hired as domestic workers to provide care for children or the elderly. Favored by current legislation and geographic proximity, Bolivian nationals engage in circular migration in a three-month cycle. Migrant women do not seek to put down roots in Chile, but instead migrate temporarily and repetitively. This article analyzes the labor histories of these circular migrants based on interviews conducted in the city of Iquique. There is a high level of fragmentation in their labor history, mainly due to non-payment of salaries, long workdays and mistreatment by employers. It is concluded in first place, that circular migration of care workers implies high personal and familiar costs for these migrant women, as it produces great uncertainty and the possibility to extend -unnecessary- the migration season. In second place, it is established the need to formulate specific migration public policies for this workers.</t>
  </si>
  <si>
    <t>10.5027/psicoperspectivas-Vol15-Issue3-fulltext-766</t>
  </si>
  <si>
    <t>Leiva M.; Vasquez-Lavín F.; Ponce Oliva R.D.</t>
  </si>
  <si>
    <t>Do immigrants increase crime? Spatial analysis in a middle-income country</t>
  </si>
  <si>
    <t>Crime; Immigration; Spatial econometrics</t>
  </si>
  <si>
    <t>The last decade has seen a significant global increase in immigration. This large growth has caused an increasing opposition to immigration in local populations in many parts of the world, partly because of a commonly held belief that immigration increases crime. Using data from Chile, spanning 10 years, from 2005 to 2015, we analyze the relationship between immigration and crime through a dynamic Spatial Durbin Model (SDM), which accounts for the possible bias for omitted variables. As the spatial model is dynamic and based on panel data, it is possible to identify direct and indirect effects on both the short- (the same period) and long-term (next period) bases. Our results show that there is no statistical evidence to link an increase in the number of immigrants to a rise in the rate of any type of crime. If any, we found a negative relationship between the number of immigrants and crime for only one out of the eight crime types analyzed. © 2019 Elsevier Ltd</t>
  </si>
  <si>
    <t>10.1016/j.worlddev.2019.104728</t>
  </si>
  <si>
    <t>Leiva-Gómez S.</t>
  </si>
  <si>
    <t>Social care in bolivia and Chile: Government and cuidadanía; [Organización social del cuidado en bolivia y Chile: Estado y cuidadanía]</t>
  </si>
  <si>
    <t>REVISTA AUSTRAL DE CIENCIAS SOCIALES</t>
  </si>
  <si>
    <t>Bolivia; Chile; Cuidadanía; Global care chains; Migration; Social care</t>
  </si>
  <si>
    <t>This article examines the organization of social care in Chile and Bolivia. The analysis takes on special relevance in the context of global care chains that exist between the two countries, which emerge as a strategy for managing the crisis of care that is increasingly affecting Chilean society. Through the lens of cuidadanía, the author examines government participation as an element of social care. Specifically, the article analyzes the provision of public childcare in the two nations. The results indicate that both Bolivia and Chile have made progress in this area, as evidenced by public programs, laws, and program statements. Both governments are taking steps towards the installation of a model of cuidadanía in which social co-responsibility timidly begins to be established. However, the coverage of the programs is not complete and there is a lack of consistency between the priorities that have been identified and the laws that must be implemented in order to support these efforts. © 2015, Universidad Austral de Chile. All rights reserved.</t>
  </si>
  <si>
    <t>10.4206/REV.AUSTRAL.CIENC.SOC.2015.N28-04</t>
  </si>
  <si>
    <t>Lekies K.S.; Matarrita-Cascante D.; Schewe R.; Winkler R.</t>
  </si>
  <si>
    <t>Amenity Migration in the New Global Economy: Current Issues and Research Priorities</t>
  </si>
  <si>
    <t>Society and Natural Resources</t>
  </si>
  <si>
    <t>amenity migration; inequality; international migration; migration; political ecology</t>
  </si>
  <si>
    <t>Drawing from a panel session held in June 2013 at the 19th International Symposium on Society and Resource Management in Estes Park, CO, this article offers a review of the current state of research on amenity migration and calls for future research to more comprehensively address critical gaps in the literature. We highlight five promising avenues for future research on amenity migration: international patterns—both domestic outside the Global North and across national borders, inequality, interdisciplinary investigations, the importance of policy contexts, and the effects of contemporary social, economic, and demographic factors. © 2015, Copyright © Taylor &amp; Francis Group, LLC.</t>
  </si>
  <si>
    <t>10.1080/08941920.2015.1054571</t>
  </si>
  <si>
    <t>Leogrande W.M.; Hershberg E.</t>
  </si>
  <si>
    <t>Cuba Emerging from COVID; [Cuba sale del COVID]</t>
  </si>
  <si>
    <t>Revista de Ciencia Politica</t>
  </si>
  <si>
    <t>authoritarian resilience; COVID in Cuba; Cuban civil society; Cuban economy; Cuban politics; July 11 protests; migration; US Cuba sanctions</t>
  </si>
  <si>
    <t>Cuba experienced continuing economic and political crises throughout 2022, pro-longing a slump that resulted from COVID’s impact, the effects of US sanctions, and muddled economic policies. The popular anger and frustration that erupted in nationwide protests on July 11, 2021, deepened into a crisis of legitimacy for the government: the foundational social compact of the Revolution—to provide social equity and economic security for all—was not being kept. While ever greater access to communication technologies enabled the citizenry to impact some public policies, questioning of the political system remained off limits. Despite facing political and economic challenges that are frequently the prelude to instability, the Cuban system continued to enjoy sources of resilience characteristic of authoritarian durability. The prospect of a fundamental challenge to regime persistence was therefore unlikely in the near-term, but the corrosive effects of its problems posed significant risks for the future. © 2023, Pontificia Universidad Catolica de Chile. All rights reserved.</t>
  </si>
  <si>
    <t>10.4067/S0718-090X2023005000110</t>
  </si>
  <si>
    <t>León Bologna, Eduardo</t>
  </si>
  <si>
    <t>Migraciones entre países del sur: Los cambios y las continuidades en los flujos limítrofes hacia Argentina</t>
  </si>
  <si>
    <t>Migraciones internacionales</t>
  </si>
  <si>
    <t>immigration from neighboring countries; cross-border flows; short-distance migration; Southern Cone; south-south flows</t>
  </si>
  <si>
    <t>Developed countries' growing restrictions on immigration invite us to examine migration between "southern countries." Compared to south-north flows, these migrations usually involve shorter distances and poorer populations. The flows also have a long history and target certain locales in the region. In the Southern Cone, Argentina has historically been the destination for migrants from Paraguay, Bolivia, and Chile. Beginning in the 1950s, when overseas immigration ceased almost completely, the flows from neighboring countries took on great significance. This article examines these flows into Argentina, considering changes brought about by the combined effects of external factors and a cumulative process over time, which together determine if the flows will continue or come to an end.</t>
  </si>
  <si>
    <t>León Gin, Camila</t>
  </si>
  <si>
    <t>La retradicionalización de los roles de género en la maternidad transnacional: el caso de mujeres peruanas en Santiago de Chile</t>
  </si>
  <si>
    <t>gender roles; transnational family; transnational motherhood</t>
  </si>
  <si>
    <t>This article reconstructs female migrant networks and their practices, and explores the changes and implications of migration on the family of origin and family of destination. This article focuses on the perspective of Peruvian women living in Santiago, Chile, in order to deepen with greater interest the implications that migration has on gender roles, specifically exemplified through the exercise of maternity. The investigation methodology consisted in the construction of narratives of the lives of four Peruvian women. As a result, it is possible to show an exacerbation of traditional gender roles through motherhood after migration, as well as show the use of non-family networks in the country of origin and the country destination. In terms of the economic, affective and power bonds within the domestic group, transnational families require constant rearrangement of gender and generational roles in their places of origin and places of destination. Such bonds are strongly conditioned by gender.</t>
  </si>
  <si>
    <t>LOS HITOS CRÍTICOS DE LA TRAYECTORIA LABORAL ASCENDENTE DE PERUANAS Y PERUANOS EN CHILE</t>
  </si>
  <si>
    <t>Critical milestones; migration; gender</t>
  </si>
  <si>
    <t>The following article examines the employment experiences of Peruvian men and women in the Chilean labor market, looking at critical milestones in order to explore the effects of these breakthroughs on the advancing employment history of these immigrants. Discourses, perceptions, and meanings that arise from their experiences working in Chile are explored through the life stories of 32 Peruvian men and women who have improved their labor situations in Chile. By analyzing these discourses, this study finds that the primary milestones that determine the labor experience of Peruvian immigrants in Chile are related to work achievements, the socio-historical context, and family and personal aspects (improving their position by means of social networks and symbolic capital). Their living situation and personal decisions in relation to the Chilean social structure are also found to be relevant.</t>
  </si>
  <si>
    <t>León-Rojas A.</t>
  </si>
  <si>
    <t>Migration and public policies: Venezuelan migrant childhood and adolescence in Medellín; [Migración y políticas públicas: infancia y adolescencia migrante venezolana en Medellín]</t>
  </si>
  <si>
    <t>adolescence; childhood; Migration; public policy</t>
  </si>
  <si>
    <t>This article questions whether Medellin's public policy for children and adolescents took into ac-count the context of Venezuelan migration when it was updated. This is an important issue because of the challenges posed for local governments in relation to migrants, especially children and ado-lescents, and the role of public policies in providing assistance and social integration to this popula-tion. Based on the analysis of the Public Policy Agreements - Repealed Agreement 86 of 2006 and Updated Agreement 143 of 2019 - it was identified that the provision of assistance for migrant chil-dren and adolescents was focused on the restoration of rights. This assistance was based on a social approach to risk in the repealed public policy and following its updating now depends on the incor-poration of the differential approach with a specific focus on migrant children and adolescents. © 2022 Revista Latinoamericana de Ciencias Sociales, Ninez y Juventud.All rights reserved.</t>
  </si>
  <si>
    <t>10.11600/rlcsnj.20.3.4902</t>
  </si>
  <si>
    <t>Levey C.</t>
  </si>
  <si>
    <t>Documenting Diaspora, Diasporising Memory: Memory and Mediation among Chilean and Uruguayan Hijxs del exilio</t>
  </si>
  <si>
    <t>documentary; exile; memory; post-dictatorship; second-generation; Southern Cone</t>
  </si>
  <si>
    <t>Addressing the absence of second-generation exiles from Southern Cone post-dictatorship memory scholarship, this paper compares two documentaries: Hora Chilena, about the British-Chilean community and Tus padres volverán, depicting Uruguayan exiles across Europe – both made by and/or about the no retornadxs (those who did not return to their countries of origin after dictatorship). The paper deploys documentary to offer a nuanced depiction of the hijxs del exilio (children of exile), finding them to be distinct to both the protagonist generation and their second-generation peers in the Southern Cone. By incorporating neglected voices and reframing post-dictatorship memory in Europe, the paper challenges memory narratives about second-generation exile. © 2021 Society for Latin American Studies.</t>
  </si>
  <si>
    <t>10.1111/blar.13335</t>
  </si>
  <si>
    <t>Lewis J.P.; Heinonen T.</t>
  </si>
  <si>
    <t>Social Aspects of Aging in Indigenous Communities</t>
  </si>
  <si>
    <t>Aging internationally; Colonization; Cultural identity; Economic change; Family change; Health and well-being; Indigenous culture; Migration; Social transformation; Survival strategies</t>
  </si>
  <si>
    <t>Social and structural changes affect the daily lives and quality of life of older Indigenous adults throughout the world. In many cases, older adults are no longer esteemed and valued as they were in the past. Their role as keepers and teachers of cultural knowledge and traditions has changed as family life has been transformed due to the effects of colonization but also due to social and economic changes. This book describes how older adults are meeting these challenges and finding strategies to survive, thrive, and contribute to their families, communities, and society. The geographic locations discussed in relation to Indigenous aging include Bangladesh, Chile, Canada, Finland, Ghana, India, Nigeria, New Zealand, North America, Sri Lanka, Taiwan, and Zambia. This book is organized into five different thematic sections concerning Indigenous cultural beliefs and views on aging; aging and social policy; the effects of social change on communities, families, and older adults; emotional and psychological issues; and the contributions of Indigenous older adults. The book also discusses the effects of colonization on older Indigenous people; the significance of cultural identity; challenges of social and economic transformation affecting Indigenous older persons and their families and communities; and evidence of resilience and strength in older adults’ survival strategies. © Oxford University Press 2023. All rights reserved.</t>
  </si>
  <si>
    <t>10.1093/oso/9780197677216.001.0001</t>
  </si>
  <si>
    <t>Liberona Concha N.; Rodríguez R.R.; Rivera C.P.; Ramírez M.C.</t>
  </si>
  <si>
    <t>En tránsito por el norte de Chile: Desplazamiento forzado de población venezolana bajo el control fronterizo y sanitario durante la pandemia por COVID-19 (2020-2021)</t>
  </si>
  <si>
    <t>Chile; Chile; COVID-19; COVID-19; Desplazamiento forzado; forced displacement; Plan Colchane; Plan Colchane; Venezuela; Venezuela</t>
  </si>
  <si>
    <t>In 2020, as a result of border closures due to the COVID-19 pandemic, thousands of forcibly displaced migrant families, mainly of Venezuelan origin, entered Chile through unauthorized crossings. In response, the Government activated administrative measures to restrict mobility and promoted the militarization of the border. Although these measures did not limit people's entry, they were threatened by illegal collective expulsions and by a “humanitarian” intervention that aggravated the crisis. In this context, we explore through a collaborative ethnography, how the control of cross-border mobility is linked to and reinforced by the health control of this population, threatened by the international border order. Specifically, we illustrate the effects of transit density on displaced persons, based on the management of the “migratory crisis” through the “Colchane Plan,” and we analyze the humanitarian response as a form of government that invisibilizes and naturalizes serious consequences on the health of bodies in mobility. © 2024 by the American Anthropological Association.</t>
  </si>
  <si>
    <t>10.1111/jlca.12718</t>
  </si>
  <si>
    <t>Liberona Concha, Nanette</t>
  </si>
  <si>
    <t>De las fronteras geopolíticas a las fronteras sociales: La migración boliviana a través de la prensa de Tarapacá (1990-2007)</t>
  </si>
  <si>
    <t>Estudios fronterizos</t>
  </si>
  <si>
    <t>social boundaries; immigration in Chile; Bolivians in Tarapacá; border policy; migration policy</t>
  </si>
  <si>
    <t>This article analyzes the relationships between national and Bolivian populations in the Tarapacá border region from the perspective of interethnic relations. Our interest in these interactions is based on both the historical bond between the two populations and the conflict between the countries on each side of the Chilean-Bolivian border. The image of Bolivian immigration and media accounts of trends on the subject during the last 17 years as presented by La Estrella de Iquique newspaper are studied through a qualitative content analysis. Consequently, a permanent stigmatization of immigration in general and Bolivian immigration in particular was identified on the part of both the authorities and civil society. Nonetheless, a call for solidarity toward immigration and the need to understand the phenomenon is raised in opposition to the need for a new immigration law.</t>
  </si>
  <si>
    <t>32</t>
  </si>
  <si>
    <t>La frontera cedazo y el desierto como aliado: Prácticas institucionales racistas en el ingreso a Chile</t>
  </si>
  <si>
    <t>migration control; racism; border; people traffick</t>
  </si>
  <si>
    <t>Crossing frontiers between countries implies the presentation of documentation, which is required by the legal framework of each State that establishes requirements for the entry of foreigners into the country. This research focuses on the border between Chile and Bolivia, and seeks to observe how these requirements are applied, how the procedures are met and how public officials from the Colchane Border Complex relate to the foreigners “users”. After an ethnographic analysis, it can be concluded that the situation is complex: on the one hand, we found irregularities in the process of entry into the country; arbitrariness and transgression of the law are committed in order to refuse the authorization of entry of certain people. These are characterized by racist events that are the provider of entry authorization to primarily a specific population: the Colombian Afro-descendants. On the other hand, this population is not willing to turn around and become “bounced”, stranded in the desert, which becomes an ally, through the clandestine entry.</t>
  </si>
  <si>
    <t>42</t>
  </si>
  <si>
    <t>Liberona Concha, Nanette Paz; Piñones Rivera, Carlos Daniel; Dilla Alfonso, Haroldo</t>
  </si>
  <si>
    <t>De la migración forzada al tráfico de migrantes: la migración clandestina en tránsito de Cuba hacia Chile</t>
  </si>
  <si>
    <t>ABSTRACT This article takes up the critical discussion that has taken place at an international level by considering people smuggling as a crime. It focuses on clandestine transit migration of Cubans to Chile, associated with the trafficking of migrants, the latter understood as forced migration. From a collaborative ethnographic follow-up, the experience of clandestine transit migration is collected while reconstructing the motives, routes, the lack of a coyote figure, the abuses, the risks, the crossing of Chilean borders, and the denial of refuge. It is concluded that emphasizing the voluntariness of being smuggled contributes to the irregularization of migrants, which is why we consider it necessary to stop perceiving this phenomenon from a criminal perspective and consider the density social, cultural, political, and economic dimensions of people smuggling.</t>
  </si>
  <si>
    <t>10.33679/rmi.v1i1.2319</t>
  </si>
  <si>
    <t>Liberona Concha, Nanette; Pinones-Rivera, Carlos; Alvarez Torres, Camila</t>
  </si>
  <si>
    <t>CONSEQUENCES OF THE STRUCTURING ORDER OF INTERETHNIC RELATIONS: BARRIERS TO HEALTHCARE ACCESS FOR MIGRANT WOMEN AND THEIR FAMILIES IN TARAPACA</t>
  </si>
  <si>
    <t>Migrant women; healthcare access; interethnic relations; health; migration policy</t>
  </si>
  <si>
    <t>International migration and cross-border mobility are historical characteristics of the Tarapaca region. However, with increasing immigration in Chile over the last 20 years, the issue has become a prominent one, especially in public services such as health. The text's objective is to explore how interethnic relations produce obstacles to healthcare access for migrants in the Health Service of Iquique. Using ethnography, we analyze the discourse of technical-administrative officials and health professionals on the policies of access to healthcare for the migrant population. Our main conclusion is that the construction of cultural differences and emphasis on ethnicity creates barriers to healthcare access, violating the right to health for migrant women and their families.</t>
  </si>
  <si>
    <t>10.4067/S0717-73562023005000502</t>
  </si>
  <si>
    <t>Liberona Concha, Nanette; Salinas, Sius-geng; Veloso, Karen; Romero, Mileska</t>
  </si>
  <si>
    <t>Tipología de cuerpos traficados desde América del Sur y el Caribe hacia Chile</t>
  </si>
  <si>
    <t>Anthropology of the body; clandestine transit; gender violence; Latin American border; migrant smuggling</t>
  </si>
  <si>
    <t>Abstract: In this study, we construct a typology of trafficked bodies of clandestine migrant women in transit from South America and the Caribbean to Chile, approaching the subject based on the anthropology of the body and human mobility. We used several methods to construct this typology. We conducted collaborative ethnographic monitoring between 2018 and 2020, consisting of three elements: 1) an ethnography of migrant smuggling on the Peru-Chile and Bolivia-Chile borders, 2) in-depth interviews with the research collaborators, and 3) legal and psychosocial accompaniment. We organized an intervention involving spontaneous theatre in which the collaborators took part. Finally, we reviewed the judicial sentence of the so-called "Operation Desert," which describes the facts involved in a case of migrant smuggling. The body definition on which this work is based was provided by philosophical, aesthetic, and feminist theories. The discussion of the results also focuses on critical analyses of the law of dominance through bodies and the racialization of migrant bodies. The main conclusions are that trafficking produces new corporalities, that the historical and social construction of bodies reveals women's exposure to particular risks in trafficking, that clandestine transit is always forced, and that the density of transit affects bodies in their different dimensions. The originality of this research is the incorporation of interdisciplinary elements to address a complex issue, whereby we collected, on the one hand, the experiences of migration transit and destination while, on the other, the study included the active participation of the people involved. This work has been framed within the approaches of situated research and academic activism.</t>
  </si>
  <si>
    <t>44</t>
  </si>
  <si>
    <t>10.7440/antipoda44.2021.08</t>
  </si>
  <si>
    <t>Liberona, Nanette; Pinones-Rivera, Carlos</t>
  </si>
  <si>
    <t>Economic and mobility repercussions of the COVID-19 pandemic on the Chile-Bolivia border</t>
  </si>
  <si>
    <t>border regime; irregular transit; migrant labour; migration; pandemic</t>
  </si>
  <si>
    <t>This article analyzes how the pandemic caused by the coronavirus (COVID-19) has impacted international migration. In particular, we compare the mobility and economic repercussions faced by Bolivian and Venezuelan migrants. We conducted 16 semi-structured interviews with migrants who requested legal and social support and advice provided by the Open Assembly of Migrants and Pro-Migrants of Tarapaca, Chile (AMPRO), an organisation dedicated to defending migrant rights. The Bolivian interviewees worked in Chile before the pandemic in the city of Iquique (close to the Bolivian border). The Venezuelan interviewees are undocumented people in transit who entered Chile during the pandemic. Through this comparison, we describe the economic repercussions on the everyday life, mobility, and survival strategies of people in transit, transboundary workers, and migrants with transnational families, and reveal a realignment of Chile's border regime that benefits post-pandemic capitalism. Furthermore, we clarify how the health restrictions implemented due to the pandemic have favoured the reconfiguration of the border regime imposed in Chile, through a racist immigration policy based on the control and management of migration, leading to a greater irregularization of migration.</t>
  </si>
  <si>
    <t>10.1177/02633957231178526</t>
  </si>
  <si>
    <t>Lima, Everton E. C.; Vilela, Estevao A.; Peralta, Andres; Rocha, Marilia; Queiroz, Bernardo L.; Gonzaga, Marcos R.; Piscoya-Diaz, Mario; Martinez-Folgar, Kevin; Garcia-Guerrero, Victor M.; Freire, Flavio H. M. A.</t>
  </si>
  <si>
    <t>Investigating regional excess mortality during 2020 COVID-19 pandemic in selected Latin American countries</t>
  </si>
  <si>
    <t>GENUS</t>
  </si>
  <si>
    <t>COVID-19; Pandemic; Excess mortality; Latin America; Subnational areas</t>
  </si>
  <si>
    <t>In this paper, we measure the effect of the 2020 COVID-19 pandemic wave at the national and subnational levels in selected Latin American countries that were most affected: Brazil, Chile, Ecuador, Guatemala, Mexico, and Peru. We used publicly available monthly mortality data to measure the impacts of the pandemic using excess mortality for each country and its regions. We compare the mortality, at national and regional levels, in 2020 to the mortality levels of recent trends and provide estimates of the impact of mortality on life expectancy at birth. Our findings indicate that from April 2020 on, mortality exceeded its usual monthly levels in multiple areas of each country. In Mexico and Peru, excess mortality was spreading through many areas by the end of the second half of 2020. To a lesser extent, we observed a similar pattern in Brazil, Chile, and Ecuador. We also found that as the pandemic progressed, excess mortality became more visible in areas with poorer socioeconomic and sanitary conditions. This excess mortality has reduced life expectancy across these countries by 2-10 years. Despite the lack of reliable information on COVID-19 mortality, excess mortality is a useful indicator for measuring the effects of the coronavirus pandemic, especially in the context of Latin American countries, where there is still a lack of good information on causes of death in their vital registration systems.</t>
  </si>
  <si>
    <t>10.1186/s41118-021-00139-1</t>
  </si>
  <si>
    <t>Lindström J.; Mussino E.; Oláh L.S.</t>
  </si>
  <si>
    <t>Childbearing among Polish migrant women and their descendants in Sweden: an origin-destination country approach</t>
  </si>
  <si>
    <t>Journal of Population Research</t>
  </si>
  <si>
    <t>Adaptation; Immigrant fertility; Poland; Selection; Socialisation; Sweden</t>
  </si>
  <si>
    <t>This paper examines the childbearing behaviour of Polish migrant women and their descendants in Sweden. Also considering stayers in the country of origin, we rely on a country-of-origin and country-of-destination approach in a careful examination regarding the relevance of three hypotheses on migrant fertility: the socialisation, selection, and adaptation hypotheses. We analyse the transitions to first and second births based on a piecewise exponential model, using Swedish register data and the Polish Generations and Gender Survey (GGS) first wave. The results support the socialisation hypothesis, as the Polish stayers and the first-generation Polish migrants have their first child at younger ages and are less likely to remain childless than the other groups but are also more likely to not proceed to a second child, unlike the Swedish natives and the second generation. We find partial support for the selection hypothesis. Descriptively, we observe signs of selection into migration based on education, cohort, and marital status. Additionally, our study shows that the impact of marriage varies between stayers and migrants, in the first-birth transition, suggesting selection into migration when it comes to unobserved characteristics as well. The adaptation hypothesis is also supported, as the fertility behaviour of the second generation more closely resembles that of the Swedish natives than that of the first generation and differs more from that of the Polish stayers in terms of both quantum and timing of the first and second births. © 2022, The Author(s).</t>
  </si>
  <si>
    <t>10.1007/s12546-022-09283-7</t>
  </si>
  <si>
    <t>Linton S.L.; Jennings J.M.; Latkin C.A.; Kirk G.D.; Mehta S.H.</t>
  </si>
  <si>
    <t>The association between neighborhood residential rehabilitation and injection drug use in Baltimore, Maryland, 2000-2011</t>
  </si>
  <si>
    <t>Health and Place</t>
  </si>
  <si>
    <t>Drug abuse; Injection drug use; Urban health; Urban redevelopment</t>
  </si>
  <si>
    <t>This study utilized multilevel cross-classified models to longitudinally assess the association between neighborhood residential rehabilitation and injection drug use. We also assessed whether relocating between neighborhoods of varying levels of residential rehabilitation was associated with injection drug use. Residential rehabilitation was categorized into three groups (e.g. low, moderate, high), and lagged one visit to ensure temporality. After adjusting for neighborhood and individual-level factors, residence in a neighborhood with moderate residential rehabilitation was associated with a 23% reduction in injection drug use [AOR=0.77; 95% CI (0.67,0.87)]; residence in a neighborhood with high residential rehabilitation was associated with a 26% reduction in injection drug use [AOR=0.74; 95% CI (0.61,0.91)]. Continuous residence within neighborhoods with moderate/high rehabilitation, and relocating to neighborhoods with moderate/high rehabilitation, were associated with a lower likelihood of injection drug use. Additional studies are needed to understand the mechanisms behind these relationships. © 2014 Elsevier Ltd.</t>
  </si>
  <si>
    <t>10.1016/j.healthplace.2014.04.005</t>
  </si>
  <si>
    <t>Liu, Minhui; Olivos, Francisco</t>
  </si>
  <si>
    <t>Co-ethnic exploitation among Chinese within an ethnic economy</t>
  </si>
  <si>
    <t>ASIAN AND PACIFIC MIGRATION JOURNAL</t>
  </si>
  <si>
    <t>co-ethnic exploitation; ethnic economy; guanxi; Chinese migrants; Chile</t>
  </si>
  <si>
    <t>Based on the situation of Chinese migrants in Santiago, Chile, this article shows that labor relationships between Chinese employers and Chinese workers could be exploitative. Thus, we aim to discuss the conditions under which co-ethnic exploitation among Chinese takes place in Chile. In addition, we ask why Chinese workers allow themselves to be exploited by their Chinese employers, and how employers explain the exploitation. We argue that such exploitation starts from the migration route, through which both parties mutually agree to skirt local regulations. Chinese employers hire co-ethnic workers through the use of guanxi (personal connections), which generates the conditions that keep workers under employers' control and restrict possibilities for change.</t>
  </si>
  <si>
    <t>10.1177/0117196819899243</t>
  </si>
  <si>
    <t>Livacic, Gaston Ernesto Passi</t>
  </si>
  <si>
    <t>The new international migration and local measures. An analysis of the Chilean experience</t>
  </si>
  <si>
    <t>Traditional International Migration; New International Migration; Impact in Chile; Local Measures-Public Management Policy for Migrants</t>
  </si>
  <si>
    <t>The main objective of the following work is to analyse the relationship between the New International Migration and the importance of local measures. For such purposes, in the first instance, the leading international trends that predict International fracture are addressed. At the same time, discussing the main international forces operating on the international stage, their new dynamics, and the leading global consequences of the ongoing global transition. In a second instance, the work addresses the impact of the new global dynamics through the analysis of the Chilean experience, investigating both demographic factors, as well as the position of Chile in dealing with the symptoms observed in the international arena. Thus, the work is divided into three large chapters, the first of which is called I-The New International Migration, which addresses how the new international immigration differs from traditional immigration, as well as the new guidelines that govern against the international migratory phenomena, however, the second chapter, called II-Trajectory of the Traditional International Migration, The Emergence of de New International Migration and Its Impact on Chile, lists and defines the main migratory stages in the country and the relationship with the current international fracture. In the third chapter, called III-The Chilean Response in a Context of Transition Global Migratory Flows, the local measures assumed by the Chilean State to face the new international scenario in progress are pondered, fundamentally addressing the Public Management Policy for Migrants as one of its main strategies.</t>
  </si>
  <si>
    <t>Livacic, Gaston Passi</t>
  </si>
  <si>
    <t>Implementation of the Sello Migrante programme. Characterisation of the emerging institutional framework and the circulation of knowledge in certified municipalities in Chile (2015-2022)</t>
  </si>
  <si>
    <t>Sello Migrante; international migration; municipalities; emerging institutions; training</t>
  </si>
  <si>
    <t>The main focus of this article is to analyse and characterise the evaluation guidelines requested by the Sello Migrante (Migrant Stamp) programme of Chile's National Migration Service for the communes that have been recognised with the Sello Migrante certificate. For this purpose, all the municipalities that have participated in the initiative, from its inception in December 2015 until December 2022, will be assessed. In the case of revalidated municipalities, the evaluation of the last report submitted has been taken into consideration. The evaluation criteria for the public policy under observation consist of five major dimensions; however, this proposal focuses on characterising the emerging institutional framework in local governments in the following points: (i) institutional framework and (ii) capacity building. In effect, the aim is to analyse the behaviour associated with the implementation of an unprecedented public policy in the treatment of the current international migration phenomena, particularly the type of articulation between the central structure of the State, certified local governments and foreign nationals residing in these territories. It also observes the management difficulties and ideas that emerge from some municipalities to further deepen the new form of public migration management existing in the country.</t>
  </si>
  <si>
    <t>10.4067/s0719-09482023000100204</t>
  </si>
  <si>
    <t>Llanos Arriagada, Carolina Eugenia; Bravo Montero, Karina Alejandra</t>
  </si>
  <si>
    <t>Inmigrants as messenger of our time: sacrifice and fracture as causes of homeless situation</t>
  </si>
  <si>
    <t>bare life; Bienvenidos Program; fracture; Fundacion Gente de la Calle; homeless; sacrifice</t>
  </si>
  <si>
    <t>The following text constitutes a critical reflection arises from the experience of the Bienvenidos program at the Fundacion Gente de la Calle en Chile, especially from the connection, part of the program since 2016 until these days, with migrants who are homeless or about to become homeless. The thesis stands for identifying elements of an identity's operation such as sacrifice and fracture, in the situation of homeless migrants, creating a scenario of severe violations that increase the odds of ending in this social status. To support this statement; first, we will discuss the migration context in Chile, emphasizing on the social construction of the subject; second, the subjective configuration that occurs in the migrant when trying to materialize his migratory project. Sacrifice and other factors such as uprooting and the lack of intimate, non-institutional, networks are elements that worsen the identity fracture, constituting the identity of the migrant from the horizon of bare life, revealing structural violence where everybody will eventually become part of, being radicalized in such cases. The migrant embodies the accentuation of human fragility, being considered a messenger of our time. Finally, this paper will draw attention to the importance of knowing the difference between vulnerability and complexity to deal with the problem of this social reality.</t>
  </si>
  <si>
    <t>10.15446/RCS.V43N2.82574</t>
  </si>
  <si>
    <t>Lo Chavez, Damian</t>
  </si>
  <si>
    <t>The ruling classes of Tarapaca and Chilean migrants: criminalization, crimes and rebellions in Peruvian Iquique: 1870-1879</t>
  </si>
  <si>
    <t>migrations; rebellion; ruling classes</t>
  </si>
  <si>
    <t>This article explores an early moment in the social history of Iquique: the years prior to the War of the Pacific and the last stage of Peruvian sovereignty, which was a period characterized by the vertiginous growth of the saltpetre (nitrate) industry and the port of Iquique. In the years studied, the province received a large number of Chilean migrants. These were mainly laborers from the central region of Chile who were experiencing an early phase of the labor transition towards salaried employment. In the city, they adopted various forms of rebelliousness against the urban order of the ruling classes of the province of Tarapaca. The latter had been aiming to convert Iquique into a modern city that could respond to the needs of capital accumulation, and for this purpose they had tried to increase their social control over the urban space and its inhabitants. This article underlines how the social conflict between popular urban sectors and city elites was an important factor in urban development. The study of primary sources offers a depiction of the society of the period in question and provides an opportunity to analyze the variables linked to the social conflict and their impact on the configuration of the city.</t>
  </si>
  <si>
    <t>10.4067/S0719-09482020000100078</t>
  </si>
  <si>
    <t>Lobos, Lucia Castillo</t>
  </si>
  <si>
    <t>Raise as if we were not working and work as if we were not having children reflections on the labor integration of migrant mothers raising in Chile</t>
  </si>
  <si>
    <t>POBLACION Y SALUD EN MESOAMERICA</t>
  </si>
  <si>
    <t>Migrant mothers; Labor integration; Migrant childrearing; Migration in Chile</t>
  </si>
  <si>
    <t>The childrearing practices deployed by migrant mothers are influenced by the precariousness of their subsistence spaces, as well as the mothers &amp; PRIME; knowledge and experiences. From the theoretical assumptions of intersectionality that reveals the imbricated networks based on gender, ethnicity-race and class that establish relations of inequality between social superstructures and mothers-migrants, it is proposed to respond to the general objective of analyzing the influence of precariousness work of migrant mothers in raising their sons and daughters in Chile. From a Latin American perspective, it is hoped to open the discussion regarding a local phenomenon as a manifestation of situated knowledge and, in turn, make visible the discrimination, subordination and submission of migrant women mothers, which explains the general dismissal of their vulnerable integration into the country and in which the upbringing of their sons and daughters take place. Through a qualitative methodology based on symbolic interactionism, 39 semi-structured interviews were conducted with Venezuelan, Peruvian and Haitian migrant mothers, which were subjected to thematic analysis and theorized according to the defined research objectives. As a result, it is obtained that migrant mothers tend to access precarious and informal jobs against which they deploy different strategies that range from job abandonment, renouncing their maternity rights, acceptance of double presence and the formation of chains. care packages to make the childrearing compatible with work. The conclusions show that the labor integration of migrant mothers in Chile outlines the practices of childrearing from a permanent negotiation between subsistence, the maintenance of ties and their cultural heritage, where the dimensions of gender, race and class outline the intensity of these transactions that make manifest the social location of subalternity of migrant mothers, and that is intensified in the case of Haitian mothers since the greater representation of otherness is embodied in them.</t>
  </si>
  <si>
    <t>10.15517/psm.v21i1.52797</t>
  </si>
  <si>
    <t>Lohndorf R.T.; Vermeer H.J.; Cárcamo R.A.; Mesman J.</t>
  </si>
  <si>
    <t>Preschoolers' vocabulary acquisition in Chile: The roles of socioeconomic status and quality of home environment</t>
  </si>
  <si>
    <t>Journal of Child Language</t>
  </si>
  <si>
    <t>Preschoolers' vocabulary acquisition sets the stage for later reading ability and school achievement. This study examined the role of socioeconomic status (SES) and the quality of the home environment of seventy-seven Chilean majority and Mapuche minority families from low and lower-middle-class backgrounds in explaining individual differences in vocabulary acquisition of their three-and-a-half-year-old children. Additionally, we investigated whether the relation between SES and receptive and expressive vocabulary was mediated by the quality of the home environment as the Family Investment Model suggests. The quality of the home environment significantly predicted receptive and expressive vocabulary above and beyond ethnicity, SES, parental caregiver status, and quantity of daycare. Furthermore, the quality of the home environment mediated the relation between SES and expressive and receptive vocabulary acquisition. © Copyright Cambridge University Press 2017.</t>
  </si>
  <si>
    <t>10.1017/S0305000917000332</t>
  </si>
  <si>
    <t>Lopes C.E.B.</t>
  </si>
  <si>
    <t>Frontier contexts and transconstitutional optics in the effectiveness of fundamental rights of the worker: Strengthening of mercosur under the migratory movements; [Contextos fronteiriços e óptica transconstitucional na efetivação de direitos fundamentais do trabalhador: Fortalecimento do mercosul sob à luz dos movimentos migratórios]</t>
  </si>
  <si>
    <t>Journal of Law and Sustainable Development</t>
  </si>
  <si>
    <t>Mercosur; Migration; Transconstitutionalism; Work</t>
  </si>
  <si>
    <t>Once the globalization phenomenon is established, the acquisition of facilitating means of integration and interaction between the countries of the regions becomes essential, given that, mainly, essential and common patterns invade the world-wide - requiring, in terms of Marcelo Neves, the methodology of transconstitutionalism and the path of reciprocal learning paths. In Latin America, especially, the process of association is engendered by historical perspectives of submission and domination to countries of imperialist culture. Thus, this article, through a bibliographical and jurisprudential study, seeks to analyze the legal conditions of entry and residence of the migrant worker in the member states of Mercosur (Argentina, Brazil, Paraguay and Uruguay), in the light of regional exchange, human rights and the context of the Democratic State of Law. © 2019 Campo Juridico. All rights reserved.</t>
  </si>
  <si>
    <t>10.37497/REVCAMPOJUR.V7I2.277</t>
  </si>
  <si>
    <t>López A.L.L.</t>
  </si>
  <si>
    <t>Building on my sexual identity: Significance of the first sexual experiences of a middle-school immigrant ('mazahua') girl, in Mexico city; [Construyendo mi identidad sexual. significados y experiencias en el inicio sexual de una adolescente, migrante mazahua, estudiante de secundaria en la ciudad de México]</t>
  </si>
  <si>
    <t>Gender violence; Mazahua people; Migration; Sexual identity youth</t>
  </si>
  <si>
    <t>This paper presents a deep study about the build meaning of the first sexual experiences of a native ("Mazahua") Mexican girl; She is a teenager, located as a typical student of a public middle school in the "La Merced" neighbourhood in Mexico City. This work records, and analyses, the love-erotic happening---either lesbian or bisexual---as an important transition component build for the (ethnic, sexual and gender) identity of this young woman. We also discuss that her self-image is constructed as a response of the violence environment against women in this community; also, as a consequence from the urban violence from the city. © 2013.</t>
  </si>
  <si>
    <t>López A.M.; Suárez F.F.; Mera J.B.</t>
  </si>
  <si>
    <t>The speech of the prosumer and the representation of the Venezuelan migratory phenomenon in social networks of the press of Ecuador; [El discurso del prosumer y la representación del fenómeno migratorio venezolano en redes sociales de la prensa de Ecuador]</t>
  </si>
  <si>
    <t>Discurso y Sociedad</t>
  </si>
  <si>
    <t>migration; press; prosumer; social networks; Venezuela</t>
  </si>
  <si>
    <t>This article analyzes how the Ecuadorian written press represents the Venezuelan migrant on their Facebook fan pages. Consequently, 259 news items from January 2018 to April 2019 are examined to identify the discourse on the representation of social groups, migrants in this case, from the textual analysis of actors, actions, and argumentation proposed by KhosraviNik. Also, the reaction of the prosumer is studied when commenting on the information from the social group on platform 2.0, by analyzing the content of the messages from an axiological framework (positive, negative and neutral), and then determining disclaimers that are semantic movements of positive and negative self-representation of others. It is concluded that in the Ecuadorian press, there are stereotypical representations that associate the migrant's nationality with local social problems, which result in greater social polarization compared to the figure of the migrant. Furthermore, racist social cognition is evident in the prosumer's comments transforming into a xenophobic discourse towards the Venezuelan citizen. © 2021 Universidad Pompeu Fabra. All rights reserved.</t>
  </si>
  <si>
    <t>López E.E.G.</t>
  </si>
  <si>
    <t>Immigration law: A curricular response to the overpopulation of law graduates and the complexities of their labor insertion in the Northern Region of Mexico; [Lei de imigração: Uma resposta curricular ao elevado número de graduados em direito e às complexidades de sua inserção no mercado de trabalho na Região Norte do México]; [Derecho migratorio: Una respuesta curricular a la sobrepoblación de licenciados en derecho y a las complejidades de su inserción laboral en la región norte de México]</t>
  </si>
  <si>
    <t>Revista Pedagogia Universitaria y Didactica del Derecho</t>
  </si>
  <si>
    <t>Curriculum; Higher education; Job placement; Law; Migration</t>
  </si>
  <si>
    <t>During the period 2000-2014 in Mexico, there has been an exponential growth in the number of graduates of bachelor's degrees in Law, in their various denominations. This growth brought along the emergence of complexities in the integration of all of them into the labor market and decent working conditions. This paper proposes the thesis that the actual problem of this phenomenon is not the proliferation of legal professionals in Mexico, but the intention of most of them to be employed in the same work fields and to perform in the same disciplinary areas. This situation calls for a reconfiguration of the curricula of Mexico's universities. Particularly, those universities in the northern region of the country which are the focus of this work. Given their geographical, contextual, and relevant situation, these Northern universities could find in the thematic line of Law and Migration an emergent response to the complexities mentioned above. © 2020 Universidad de Chile. All rights reserved.</t>
  </si>
  <si>
    <t>10.5354/0719-5885.2020.54899</t>
  </si>
  <si>
    <t>López J.U.M.; Domínguez M.M.; Navarro D.A.G.</t>
  </si>
  <si>
    <t>Rural indigenous women and poverty. The impacts of disadvantages versus resources; [Mujeres indígenas rurales y pobreza. Los impactos de las desventajas frente a los recursos]</t>
  </si>
  <si>
    <t>Culturales</t>
  </si>
  <si>
    <t>migration; poverty; Rural women; social inequality</t>
  </si>
  <si>
    <t>This study exposes the impacts of poverty on women in an indigenous municipality in Oaxaca with very high marginalization, by identifying resources, strategies and their effectiveness in women's lives, from the theoretical approach of accumulated disadvantages. The ethnographic method was used through direct observations and interviews with a culturally situated gender perspective. The findings suggest that family migration was a survival strategy that encouraged access to assets during the 20th century, however, in recent decades the income generated by migration has lost relevance in total income to reduce poverty. Likewise, social programs have contributed to sustaining families but have not been able to avoid the migration of women and their families. The results of this work raise renewed perspectives to study the poverty of this new century, under other categories that lead to new strategies to understand and reduce it. © 2022, Universidad Autonoma de Baja California. All rights reserved.</t>
  </si>
  <si>
    <t>10.22234/recu.20221001.e649</t>
  </si>
  <si>
    <t>López-Calleja Hiort-Lorenzen, Cristina; Morejón Seijas, Blanca</t>
  </si>
  <si>
    <t>Envejecimiento demográfico y migración interna de personas con 60 años y más de edad en Cuba y países de América Latina</t>
  </si>
  <si>
    <t>Población y Salud en Mesoamérica</t>
  </si>
  <si>
    <t>Internal migration; migration of adult population; demographic aging; differential migration; statistical tools applied to Demography; analysis of correspondences; Cuba; Latin America</t>
  </si>
  <si>
    <t>This work seeks to determine differences and similarities comparatively specific characteristics of internal migrant population 60 years and older between major administrative divisions (DAM) in Cuba and 14 countries in Latin America. Information on internal migration in Latin American censuses of the 2000s was processed from the website of the Latin American and Caribbean Demographic Centre (CELADE). Information relating to the aging of Cuba and other countries are also presented and other indicators are calculated as a percentage of migrants and non-migrants, and a set of expressive indicators of a propensity to migrate between the DAM in the last 5 years prior is also estimated the census for the population 60 and older. It’s been employed own statistical techniques such as contingency tables and methods of statistical analysis of correspondence and multiple to explore the relationships between categories of different demographic characteristics of migrants in selected countries. One of the results shows that in Cuba and the rest of the region still doesn’t present signs of internal migration associated with the output of work activity are observed, which occurs after 60 years in developed countries. The multiple correspondence analysis, allowed to know similar groups of categories of the variables studied when these are analyzed simultaneously. This similarity between Cuba and Chile found by the value of the variables of population aged 60 and over, life expectancy at birth, total fertility rate and rate of aging. The highest proportions of migrants from "life" are observed in those countries with a higher relative level of economic and social development; Cuba, Argentina and Chile lesser extent, show the highest rates of recent migrant aging population; in Cuba, Chile, Argentina and Panama aging index reached the highest values; Cuba is among the countries with the lowest mobility between DAM, while its level of mortality expressed in life expectancy at birth is the highest, along with Chile and Costa Rica.</t>
  </si>
  <si>
    <t>López-Morales E.</t>
  </si>
  <si>
    <t>Gentrification in Santiago, Chile: a property-led process of dispossession and exclusion</t>
  </si>
  <si>
    <t>Chile; exclusionary displacement; Gentrification; Santa Isabel; Santiago; urban renewal</t>
  </si>
  <si>
    <t>Between 2000 and 2012, the Santa Isabel area of the Santiago-Centro comuna (municipal district) saw increasing capital concentration in middle-income-oriented, new-build real estate. Whilst large developers devised several ways to pay low land prices to original owner-residents, the average sale price of new apartments rose, reducing the amount of housing options in the area by at least 50% for original low-income residents—a form of exclusionary displacement. In parallel, state regulations intensified the Floor Area Ratio in order to anchor real-estate investment to their territories, substantively leading to development projects with much higher density rates, higher rents, and smaller living spaces. In this article, I draw upon an analysis of 262 land plots that were redeveloped into 65 new high-rise projects and a survey of 195 original households who lived in the still non-redeveloped properties inside the case study area, in order to analyze how Santiago’s high-rise urban renewal (usually) means new-build gentrification led by the state and monopolized by large-scale developers. © 2016 Informa UK Limited, trading as Taylor &amp; Francis Group.</t>
  </si>
  <si>
    <t>10.1080/02723638.2016.1149311</t>
  </si>
  <si>
    <t>Lopez-Roldan, Pedro; Fachelli, Sandra</t>
  </si>
  <si>
    <t>Social inequalities in a comparative perspective: Europe and Latin America</t>
  </si>
  <si>
    <t>social inequalities; comparative analysis; Europe; Latin America; INCASI</t>
  </si>
  <si>
    <t>Presentation of the articles collected in the Papers review's monographic number as a result of various exchanges and collaborative works carried out within the framework of the European project International Network for Comparative Analysis of Social Inequalities (INCASI). It is a network of twenty universities, from five European countries (Spain, Italy, France, United Kingdom and Finland) and from five Latin American countries (Argentina, Uruguay, Chile, Brazil and Mexico), dedicated to the comparative research of inequalities developing a European project of the Horizon 2020 program (Marie Sklodowska-Curie Actions, Research and Innovation Staff Exchange, Grant Agreement GA-691004). The articles deal in a comparative perspective with the themes of labour market segmentation, professional self-employed workers, inequality of educational opportunities, socio-economic heterogeneity and the measurement of social classes, social mobility and migration, and gender gaps in households unpaid work. The different contributions seek to find points of confluence and divergence, through comparative empirical analysis of specific aspects of social inequalities between countries of Europe and Latin America, derived from the analytical framework proposed by the INCASI network (http://incasi.uab.es/en).</t>
  </si>
  <si>
    <t>10.5565/rev/papers.2692</t>
  </si>
  <si>
    <t>Lopez, Minda Morren; Lara Morales, Pamela Roxana</t>
  </si>
  <si>
    <t>From Global South to Global North: Lessons from a Short-Term Study Abroad Program for Chilean Teacher Candidates in English Pedagogy</t>
  </si>
  <si>
    <t>JOURNAL OF RESEARCH IN CHILDHOOD EDUCATION</t>
  </si>
  <si>
    <t>Chile; critical thinking; English as a foreign language; global competency; global South; short-term study abroad; teacher education</t>
  </si>
  <si>
    <t>In this qualitative study of a short-term study abroad program from Chile to the United States, teacher candidates in English pedagogy reported developing globally competent teacher attributes. Through the experiences in the program, the Chilean teacher candidates reported that their international perspectives were enhanced, their repertoire of teaching strategies and skills was broadened, and they felt more equipped to work effectively with multilingual students in their own contexts. There were also challenges related to their own cross cultural learning and English language proficiency. While most research has followed university students from the Global North traveling to another locale, this study is unique in that the participants were from Chile studying in the United States. The impacts of colonialism and anti-colonialism were explored that related not only to the institutional structures and geopolitical frameworks of the disparate regions but also educators' thinking. Thus, to be globally competent in Chile may encompass different attributes than being globally competent in the United States.</t>
  </si>
  <si>
    <t>10.1080/02568543.2021.1880997</t>
  </si>
  <si>
    <t>Loreto Mora-Olate, Maria</t>
  </si>
  <si>
    <t>Teachers' Visions on the Participation of Migrant Families in the Chilean School</t>
  </si>
  <si>
    <t>REICE-REVISTA IBEROAMERICANA SOBRE CALIDAD EFICACIA Y CAMBIO EN EDUCACION</t>
  </si>
  <si>
    <t>Teacher; Family; Migration; School; Chile</t>
  </si>
  <si>
    <t>The study aims to describe the teachers' views on the participation of migrant families in the school, in terms of how it establishes linkage mechanisms with parents and how they participate in the school process of their children. In addition, it investigates the training for teachers in Intercultural Education. This qualitative research configures a case study with nine teachers from the municipal secondary school with the highest concentration of student enrollment of migrant children in Chillan, regional capital of Nuble (Chile); territory that presents a growing increase in its foreign population. The results indicate that teachers express conflicting views on the participation of migrant families. The positive vision confirms said participation that responds to the regulations of the high school, valuing in foreign proxies their attitude rather submissive to the rules of the establishment. A negative vision also emerges, pointing to the lack of participation of immigrant parents, who, in the teachers' opinion, are constrained by their work commitments. Both visions derive from a school-centered relationship between teachers and families, where the school establishes standardized induction mechanisms for immigrant families, making them invisible. In turn, teaching discourses reveal a lack of training in Intercultural Education in migration contexts.</t>
  </si>
  <si>
    <t>10.15366/reice2021.19.3.002</t>
  </si>
  <si>
    <t>Lovón M.; García A.C.</t>
  </si>
  <si>
    <t>Cyberdiscussions on twitter about delivery by venezuelan migrants in times of covid-19; [Ciberdiscursos en Twitter sobre el delivery realizado por migrantes venezolanos en tiempos de la covid-19]</t>
  </si>
  <si>
    <t>Politica y Sociedad</t>
  </si>
  <si>
    <t>ciberdiscourses; COVID-19; migration; Peru; Venezuela</t>
  </si>
  <si>
    <t>The confinements and estrangements due to the transmission of the coronavirus in 2020 accelerated digital transformations and provoked contradictory behaviors and social reactions. In this framework, this article analyzes the discourses on the delivery service made by Venezuelan migrants during the pandemic and the new normality due to COVID-19 in Lima-Peru and identifies the linguistic resources that cybernauts used in the elaboration of these discourses. Methodologically, this is an interpretative qualitative research that studies a set of tweets mainly from Peruvians and Venezuelans about Venezuelan delivery on Twitter. The article concludes that the delivery service generated two types of discourses: on the one hand, some of discrimination and rejection, which are repeated in Peruvian society and are reflected in cyberspace, and on the other hand, others admiration by Venezuelans, who also highlight the confrontations they go through in the face of the alternative of a job that allows them to survive. Such reasoning is revealed through the linguistic strategies used. © 2023 Universidad Complutense de Madrid. All rights reserved.</t>
  </si>
  <si>
    <t>10.5209/poso.83354</t>
  </si>
  <si>
    <t>Lovón M.; Martel A.; Yalta E.</t>
  </si>
  <si>
    <t>Discourses and ideologies about Venezuelan migrants in Peru: Mestizaje, identity and territory; [Discursos e ideologías acerca del migrante venezolano en el Perú: mestizaje, identidad y territorio]</t>
  </si>
  <si>
    <t>Discourse; Identity; Mestizaje; Migration; Territory</t>
  </si>
  <si>
    <t>The purpose of this research is to analyze the ideological discourses on the Venezuelan migrant in Peru. For this purpose, the discursive productions of Peruvian residents in Ayacucho and Lima, as representative cases of Peruvianness, were studied. Methodologically, we used a qualitative approach with semi-structured interviews. The work examined the construction of social processes such as mestizaje, identity and territory. The study concludes that migration has an impact on the conceptions and behaviors of Peruvians who consider themselves threatened by Venezuelan migration. © 2024, Fondazione Centro Studi Emigrazione. All rights reserved.</t>
  </si>
  <si>
    <t>Lozano-Gracia, Nancy; Piras, Gianfranco; Maria Ibanez, Ana; Hewings, Geoffrey J. D.</t>
  </si>
  <si>
    <t>The Journey to Safety: Conflict-Driven Migration Flows in Colombia</t>
  </si>
  <si>
    <t>INTERNATIONAL REGIONAL SCIENCE REVIEW</t>
  </si>
  <si>
    <t>displacement; forced migration; space; violence</t>
  </si>
  <si>
    <t>While there is a growing econometrics literature on the modeling of conflict and the interactions with trade, there has been relatively little evidence modeling the interregional migration behavior of individuals internally displaced by conflicts. The current article models the flows of households forced to leave their residence because of violent conflicts in Colombia. Results shed light on the main determinants of what we call journey to safety Violence appears to be one of the most relevant pushing effects together with the absence of institutions and the dissatisfaction with the provision of basic needs. Furthermore, for regions with extreme violence levels, individuals appear to be willing to relocate to more distant locations. On the destination side, most populated regions are more attractive as well as areas with a sufficient level of fulfillment of basic needs.</t>
  </si>
  <si>
    <t>10.1177/0160017609336998</t>
  </si>
  <si>
    <t>Luarte V.V.; Cortés C.A.; Merino M.E.T.</t>
  </si>
  <si>
    <t>Labor and migration in contemporary Chile; [Trabajo y migración en el Chile contemporáneo]</t>
  </si>
  <si>
    <t>Perfiles Latinoamericanos</t>
  </si>
  <si>
    <t>deproletarianisation; labour; migration; racialization; racism; super-exploitation</t>
  </si>
  <si>
    <t>This article analyzes the association between migration and labor in Chile, following the critique of commodity fetishism within the framework of the critique of political economy. For this purpose, formal and generalizing notions are displaced to obtain concrete and complex categories that evidence the social relations underlying the naturalized abstractions, and how value subordinates life. It is concluded that 1) behind such association racism articulates and naturalizes the dispossession, deproletarianization and super-exploitation to the point of inferiorizing racialized people, producing migrants as mere workers excluded from politics; and 2) that recognizing the latter is imperative to confront racism and the subordination of life to capital. © 2023 Flacso Mexico. All rights reserved.</t>
  </si>
  <si>
    <t>10.18504/pl3161-015-2023</t>
  </si>
  <si>
    <t>Lube Guizardi, Menara</t>
  </si>
  <si>
    <t>The Age of Migration Crisis</t>
  </si>
  <si>
    <t>TEMPO-NITEROI</t>
  </si>
  <si>
    <t>Migration; Policies; Nation-state; Latin America</t>
  </si>
  <si>
    <t>The article analyzes the historical changes in the formulation of migration policies between the 19th and 21st centuries, summarizing the emergency of an age of migration crisis. The first section discusses why international migration poses a destabilizing problem for the Nation-state political conceptions. The second section emphasizes the intrinsic articulation of the global changes in human mobility and their political governance between the 19th and 20th centuries, identifying the four prevailing political paradigms on migrant cultural diversity that shaped public policies in the 20th century. The third and fourth sections deal with the emergence of the fifth cycle of international migration policies, which is characterized by the generalization of a global discourse that criminalizes migrants and refugees. The above will be followed by a critical perspective of the way migration has been treated in some Latin American countries.</t>
  </si>
  <si>
    <t>10.1590/TEM-1980-542X2019v250303</t>
  </si>
  <si>
    <t>Lube Guizardi, Menara; Garcés H, Alejandro</t>
  </si>
  <si>
    <t>Mujeres peruanas en las regiones del norte de Chile: Apuntes preliminares para la investigación</t>
  </si>
  <si>
    <t>Estudios atacameños</t>
  </si>
  <si>
    <t>Gender; Peruvian migration; centralism; borders; nationalism</t>
  </si>
  <si>
    <t>The Peruvian migration to Chile has increased sharply from 1995 onward. Peruvian women have become the heads of the migratory networks, being also the articulation between origin and host societies. The life and labor conditions of these women have been abundantly researched by case studies carried on in the urban context of Santiago. Nevertheless, the visibility given to the Peruvian feminine migration in the city of Santiago is concomitant to the almost inexistence of case studies about the phenomenon in the northern regions of Arica-Parinacota, Tarapacá and Antofagasta. This paper questions the reasons why the Peruvian migration in the Chilean northern frontier is shadowed in the social scientist's discourses. It also analyzes the census demographic data regarding Peruvian migrants in the north of Chile, comparing this profile with the one of the Peruvian women which migrates to Santiago. We expect to provide elements to establish a few start points for new qualitative studies on the woman migration in Northern Chile.</t>
  </si>
  <si>
    <t>10.4067/S0718-10432012000200002</t>
  </si>
  <si>
    <t>Lube Guizardi, Menara; Garces, Alejandro</t>
  </si>
  <si>
    <t>Case studies of Peruvian migration in Chile: a critical analysis of the distortions of representation and representativeness in spatial delimitation</t>
  </si>
  <si>
    <t>Peruvian migration; coloniality of knowledge; nationalism; identity; spatial delimitations</t>
  </si>
  <si>
    <t>The paper provides a critical analysis of research on Peruvian migration in Chile organized around the representation and representativeness of these studies in terms of spatial delimitation. We found that the recurrence of the spatial definition of Peruvian, which represents the entire country, has only been studied in Santiago. We will develop our discussion into three parts: the presentation of data and debates on Peruvians in Chile in the available scientific literature, pointing out how these migrants are projected in a game of omissions and emergencies that promotes a selective visibility of forms and the social consequences of Peruvian migration. We will then detail the methodological applications that, from our point of view, contribute to distort results on the magnitude and/or generalization of these researches findings. Finally, we will discuss how these studies reiterate certain Chilean hegemonic nationalist concepts of otherness.</t>
  </si>
  <si>
    <t>Lube Guizardi, Menara; Gonzalvez, Herminia; Araya, Isabel</t>
  </si>
  <si>
    <t>Crossing the Boundaries of Gender: Care Experiences Among Bolivian Aymara Migrant Women in the Andean Triple-Border</t>
  </si>
  <si>
    <t>JOURNAL OF FAMILY HISTORY</t>
  </si>
  <si>
    <t>care; gender division of labor; Bolivian migrants; Aymara; Andean Triple-border</t>
  </si>
  <si>
    <t>This article addresses the results of an ethnography study on the cross-border experiences of Bolivian Aymara women in the Chilean territories of the Andean Triple-border (between Chile, Peru, and Bolivia). Its objective is to test the assumptions of the international literature on the relationship between gender inequalities, care, and migration. Its analytical focus is on the relationship between (1) the constitution of inequalities in the gender division of labor in the women's families and ethnic communities, (2) their productive and reproductive overloads, and (3) the articulation of female care chains that sustain cross-border mobilities.</t>
  </si>
  <si>
    <t>10.1177/03631990231220601</t>
  </si>
  <si>
    <t>Lube Guizardi, Menara; Lopez Contreras, Eleonora; Valdebenito, Felipe; Nazal, Esteban</t>
  </si>
  <si>
    <t>Trajectories of violence: the border experiences of peruvian women between Tacna (Peru) and Arica (Chile)</t>
  </si>
  <si>
    <t>Gender; violence; female migration; Chile-Peru border</t>
  </si>
  <si>
    <t>The article discusses the strategies articulated by Peruvian women in the border area between Chile and Peru to confront the historical legitimations of gender violence in this territory. In Peru, their trajectories are marked by violations, labor exploitation, kidnapping and slave labor. In Chile, other violence and discrimination (labor, documentary, sexist aggressions) persist, being supported in a discourse on the ethnic-national inferiority of Peruvians. Thus, there is a tension between social legitimacy and legal illegality, and between agency and subordination as far as gender violence is concerned. Supported by ethnographic data, we will define this tension as a process that (re) inscribes, in the vital trajectories of women, disparate forms of marginalization and border crossing.</t>
  </si>
  <si>
    <t>10.47456/simbitica.v7i3.33707</t>
  </si>
  <si>
    <t>Lube Guizardi, Menara; Mardones, Pablo</t>
  </si>
  <si>
    <t>The local configurations of hate. Anti-migratory discourses and xenophobic practices in Foz do Iguacu, Brazil</t>
  </si>
  <si>
    <t>hate speech; migration; Parana's tri-border-area; Foz do Iguacu</t>
  </si>
  <si>
    <t>The objective of the article is to ethnographically describe the social impacts of anti-migratory hate speeches in the Brazilian city of Foz do Iguacu (in the triple border of Parana). We analyze the current Brazilian political context by investigating the present impact of the imaginations of militarism, disseminated on these borders since 1970. We use an ethnographic methodology, with 60 qualitative interviews and a focus group with 11 participants (international migrant students, teachers and technical staff from the University of Latin American Integration). The results show that xenophobia was converted into official discourse in Brazil, articulating statements that advocate intolerance towards minorities and vulnerable sectors. This particularly affects Foz, given the border and military configurations of the city. Likewise, the study allows us to conclude that both speeches and xenophobic practices are articulated by racist imaginary that most strongly impact migrant women.</t>
  </si>
  <si>
    <t>e045</t>
  </si>
  <si>
    <t>10.21670/ref.2003045</t>
  </si>
  <si>
    <t>Lube Guizardi, Menara; Stefoni, Carolina; Gonzalvez-Torralbo, Herminia; Mardones-Charlone, Pablo</t>
  </si>
  <si>
    <t>Transnational migration crisis? Critical debates from the American Southern-Cone (1970-2020)</t>
  </si>
  <si>
    <t>Migration; transnationalism; historical cycles; crisis; South America</t>
  </si>
  <si>
    <t>The article discusses the regularities and contradictions of the different forms of transnational migration in, from and to Latin America, focusing, particularly, on the Southern Cone. We reincorporated our research experiences in Argentina, Brazil, and Chile, contrasting them with a state of-the art review on Latin American transnational migration. First, we will analyze the period between 1970 and 2001, characterized by the tensions of the end of the cold war, by globalization and by the emergence of a multicultural euphoria linked to end-of-century neoliberalism. Second, we will address the de-globalizing impulses that characterize the transition between 2001 and 2015. Third, we will address the post-globalizing scenario and the migration crisis in Latin America since 2015. We conclude with analytical reflections on the uses of migrant transnationalism in South America.</t>
  </si>
  <si>
    <t>10.22185/24487147.2020.106.36</t>
  </si>
  <si>
    <t>Lube Guizardi, Menara; Valdebenito Tamborino, Felipe; Nazal, Esteban; López Contreras, Eleonora</t>
  </si>
  <si>
    <t>Hyper-Border Spaces: Peruvian Migrants in the Arica Bus Terminal (Chile)</t>
  </si>
  <si>
    <t>female Peruvian migration; transnationalism; border; Arica; Chile</t>
  </si>
  <si>
    <t>Abstract This article presents an ethnographic case study of the experiences of Peruvian female migrants at the International Bus Terminal of Arica (Chile). The analysis aims to establish theoretical-methodological linkages that question the structure-agency dichotomy, based on the spatial experiences of locals and migrants. We begin by contextualizing the research and debating some theoretical categories of the urban migration studies. Later we develop an ethnographic description of the Terminal's internal spaces and how they "interlock" with the landscape of Arica. Our main conclusion regarding these findings proposes the concept of hyper-border spatiality.</t>
  </si>
  <si>
    <t>Lube-Guizardi, Menara; Garces, Alejandro</t>
  </si>
  <si>
    <t>Migrant circuits. Routes and migratory networks between Peru, Bolivia, Chile and Argentina in Chilean Northern lands</t>
  </si>
  <si>
    <t>Northern Chile; migrant circuits; Peru; Bolivia; social networks</t>
  </si>
  <si>
    <t>The paper analyses the results of a survey carried on with 200 Peruvian and Bolivian migrants in four cities of Northern Chile: Arica, Iquique, Antofagasta and Calama. After a brief introduction on the historical construction of the borders and social mobility in these territories, the research central categories and the methodology applied (as well as the general profile of respondents) are characterized. The way the respondents build their migrants nets is explained, also defining the function of these nets to the development of a social capital. The temporality of the displacements and the subjects' expectations of geographical permanence and mobility are debated. The discussion highlights how the intensification of the migration to Northern Chile is a result of the migrant circuits which interconnects Peru, Chile, Bolivia and Argentina. Finally some key concepts that articulate the theoretical and empirical information debated are detailed.</t>
  </si>
  <si>
    <t>Lube-Guizardi, Menara; Nazal, Esteban; Valdebenito-Tamborino, Felipe; Lopez-Contreras, Eleonora</t>
  </si>
  <si>
    <t>Configurations of Peruvian Female Migration in Iquique (Chile) in the 21st Century</t>
  </si>
  <si>
    <t>Female Peruvian Migration; Iquique; cultural configurations; identity; Chile</t>
  </si>
  <si>
    <t>The article presents a state-of-the-art of studies about the Peruvian female migration in Iquique (Region of Tarapaca, Chile). Through the synthesis of qualitative and quantitative research, we offer the contextualization of social, economic and political processes that endorses the interpretation of available demographic data. We will situate the geographical limits, the political-administrative and ecological characteristics of Tarapaca and will problematize the notion that the migration in Iquique is a novel phenomenon. We will synthesize the local economic characteristics and their relationship with the sociodemographic characteristics, the labor insertion and the social networks of the Peruvian migrant population. We conclude the text by pointing out how national and ethnic identity processes are configured in Iquique, stressing the reproduction of asymmetries and frietions of alterity between Peruvian woman and Chileans.</t>
  </si>
  <si>
    <t>10.22185/24487147.2017.94.034</t>
  </si>
  <si>
    <t>Luna J.P.; Alcatruz D.; Muñoz C.P.; Rosenblatt F.; Maureira S.T.; Valenzuela S.</t>
  </si>
  <si>
    <t>Local Government, Social Media and Management of COVID-19: The Case of Chilean Mayoral Communication</t>
  </si>
  <si>
    <t>Political Communication</t>
  </si>
  <si>
    <t>chile; COVID-19; mayors; political campaigning; Social Media</t>
  </si>
  <si>
    <t>Most research on governments’ use of social media focuses on the national or federal level. We therefore know little about the way local authorities harness social media platforms to communicate with their constituencies. This paper studies the role structural and political variables played in Chilean mayors’ political communication strategies during 2020–2021, a period of municipal elections marked by lockdowns due to the COVID-19 pandemic. We evaluate whether the volume and characteristics of mayors’ social media posts are related to political factors (partisanship; alignment or not with the governing block; years in office), socioeconomic characteristics (poverty rate; age profile; health infrastructure; etc.); and the incidence of COVID-19 cases and deaths at the municipal level. We found that mayors’ social media communication strategies depend on the functions that different municipalities perform in the territory, and that socioeconomic variables differentiate these activities. More specifically, we found that mayors of poorer communities made more extensive use of social media during lockdown periods than did mayors of more affluent municipalities. © 2023 Taylor &amp; Francis Group, LLC.</t>
  </si>
  <si>
    <t>10.1080/10584609.2023.2290494</t>
  </si>
  <si>
    <t>Luque, Jose; Rojas, Moises</t>
  </si>
  <si>
    <t>THE PERUVIAN REFUGEES IN CHILE: FROM TUTELARY DEMOCRACY TO THE FIGHT FOR A NEW POLITICAL CONSTITUTION (7990-2020)</t>
  </si>
  <si>
    <t>REVISTA ANDINA DE ESTUDIOS POLITICOS</t>
  </si>
  <si>
    <t>Refugee; Peru; Chile; Associations; Migration; Democracy</t>
  </si>
  <si>
    <t>This paper describes the sociopolitical process of insertion, consolidation, and transformation of the Peruvian political refuge during the period 1990-2020, based on two political coordinates: 1) the period of protected democracy (examining migration policies) and; 2) the social and political struggle for a new constitution in Chile. It is essential to point out that there are not many academic works on the Peruvian refuge in the region that allow us to understand this aspect of the political dimension of contemporary Peruvian international migration. In this sense, the central purpose of this work is to explain the role of a sector of Peruvian refugee organizations and their political position in the aforementioned period, under the premise: to migrate is a right, which was from his first actions and until today, it is their political banner of protest.</t>
  </si>
  <si>
    <t>10.35004/raep.v10i1.180</t>
  </si>
  <si>
    <t>LURIE L.; COLAS-NEILA E.; ORTIZ P.A.</t>
  </si>
  <si>
    <t>Social participation in pension systems and theirs reforms: Chile, spain and israel</t>
  </si>
  <si>
    <t>Revista Latinoamericana de Derecho Social</t>
  </si>
  <si>
    <t>Chile; Israel; Pension; Social Security; Spain; Unions</t>
  </si>
  <si>
    <t>OECD countries share a growing concern regarding both the adequacy of their pension systems and their ability to provide decent pensions to beneficiaries upon retirement. The participation of future beneficiaries in the management of the funds, as well as in the process of reform, may serve to mitigate these concerns, while also providing legitimacy to the systems in question. The current comparative study examines forms of participation in pension systems and reforms in Chile, Spain, and Israel. We find that participation in different forms and contexts is extant in all three countries. Nonetheless, in all three countries, there is a need for increased participation of future beneficiaries in the management of funds, as well as in pension reforms. © 2021 Universidad Nacional Autonoma de Mexico, Instituto de Astronomia. All rights reserved.</t>
  </si>
  <si>
    <t>10.22201/iij.24487899e.2021.32.15313</t>
  </si>
  <si>
    <t>MacAdoo Espinoza, Andrés; Zunino, Hugo Marcelo; Sagner Tapia, Johanna; Matarrita-Cascante, David</t>
  </si>
  <si>
    <t>LOS MIGRANTES POR ESTILO DE VIDA DEL VALLE DE MALALCAHUELLO DESDE UNA PERSPECTIVA POSCOLONIAL, LA ARAUCANÍA, CHILE</t>
  </si>
  <si>
    <t>Migration; colonialism; lifestyle; territory; Araucania</t>
  </si>
  <si>
    <t>The purpose of this paper is to contribute to a further understanding of lifestyle migration from a postcolonial approach. We explore the differents types of discourses that lifestyle migrants produce during the post-migratory stage in the town of Malalcahuello, La Araucania Region. The study is based on a qualitative research design of associative type of cases by criteria in which we analize 21 semi-structured interviews. The results obtained allow to distinguish between two types of lifestyle migrants: dominants and reflexives, which indicate the differentiated manifestations of the phenomenon. Generally, dominant lifestyle migrants tend to apreciate the territorial transformation produce by them in the post-migratory stage and reproduce colonialist notions of social hierarchy already present in the host places, unlike reflexive migrants who tend to valuate their insertion in the pre-existent social network of local community. This findings contribute to the discussion about this types of migration in territories configured by recent colonization processes.</t>
  </si>
  <si>
    <t>58</t>
  </si>
  <si>
    <t>Macaya-Aguirre, Gustavo</t>
  </si>
  <si>
    <t>GOVERNMENTALITY, BIOPOWER AND MIGRATIONS IN CHILE: CONTRIBUTIONS OF FOUCAULDIAN THOUGHT TO THE STUDY OF CONTEMPORARY MIGRATIONS</t>
  </si>
  <si>
    <t>Governmentality; biopower; migrations; Chile</t>
  </si>
  <si>
    <t>This essay seeks to contribute, on the one hand, to the understanding and articulation of two important concepts in Foucauldian thought: governmentality and biopower and, on the other, to reflect on how these concepts and their approach contribute to social research, in particular to field of migration studies, based on a series of reflections regarding the Chilean case and how the State and its institutions, through their practices, have sought to produce a certain type of migration and migrant subject: labor migration, migrant worker, making invisible and leaving those migrants who migrate for humanitarian reasons and also those in an irregular situation to their fate. The analysis was carried out by taking three areas that allow observing how governmentality practices and the production of imminent labor migration operate: the request for refuge, the management of irregularity and the obtaining of residence permits and insertion in the labor market.</t>
  </si>
  <si>
    <t>Violencias, fronteras y desiertos: Mujeres del Pacífico colombiano viviendo en el norte de Chile</t>
  </si>
  <si>
    <t>Borders; Migrations; Women of the Colombian Pacific; gender violence; racismo.</t>
  </si>
  <si>
    <t>Abstract: This study seeks to analyze the different forms of violence experienced by women from the Colombian Pacific who have migrated to Antofagasta, in northern Chile, based on the narratives about their migrations, which were analyzed through a thematic narrative analysis. In their life stories it is possible to identify how violence is accentuated in border areas, in the process of labor insertion and in the exercise of their maternity, and how these are sustained in processes of racialization and racism. However, despite the emotional impact generated by this violence, women are generating resistance and continue to weave their lives beyond Colombia.</t>
  </si>
  <si>
    <t>10.51188/rrts.num28.643</t>
  </si>
  <si>
    <t>Macaya-Aguirre, Gustavo; Espinoza, Carolina Stefoni</t>
  </si>
  <si>
    <t>Violence against women in the colombian internal armed conflict: keys for a critical reading</t>
  </si>
  <si>
    <t>PUNTO GENERO</t>
  </si>
  <si>
    <t>Colombian internal armed conflict; Colombia; Gender violence; Sexual violence; Women</t>
  </si>
  <si>
    <t>This article seeks to systematize and understand the analysis carried out by the academy and Human Rights organizations on violence against women in the Colombian internal armed conflict. To do this, we have selected and analyzed 51 articles and reports extracted by keywords in different search engines. Among the main findings, we report that the different investigations have sought to make visible the multiple forms of violence that affect women, as well as to inquire about the perpetrators, scenarios, impacts, resistance and interrelationship between different types of violence. Based on the foregoing, we propose the need to move towards an analysis of violence against women as a manifestation of power, open up reflection on the link between violence and forced international migration, and deepen our understanding of the impacts of violence that they experience in their political dimension.</t>
  </si>
  <si>
    <t>10.5354/0719-0417.2021.64397</t>
  </si>
  <si>
    <t>Macdonald L.C.</t>
  </si>
  <si>
    <t>Inclusion of gender and labour standards in preferential trade agreements: evidence from North American and Canada-Chile agreements</t>
  </si>
  <si>
    <t>Globalizations</t>
  </si>
  <si>
    <t>Chile; Gender; North America; preferential trade agreements</t>
  </si>
  <si>
    <t>This article analyses the causes of the incorporation of gender provisions into preferential trade agreements (PTAs), based an analysis of the reasons for the inclusion of both labour and gender provisions in the North American Free Trade Agreement (NAFTA) and the United States-Mexico-Canada Agreement (USMCA), and in the Canada-Chile Free Trade Agreement (CCFTA). Drawing upon feminist and constructivist analysis, it argues for the importance of ideational factors such as policy emulation, social learning, the formation of transnational advocacy networks (TANs), as well as the role of Global South actors. Gender provisions often contain neoliberal elements that promote female entrepreneurship rather than more transformational approaches. The comparison of the USMCA and the CCFTA shows that the inclusion of stronger gender provisions in labour chapters (as in the USMCA) may be a more effective way to promote the interests of vulnerable workers than the inclusion of a gender chapter. © 2024 The Author(s). Published by Informa UK Limited, trading as Taylor &amp; Francis Group.</t>
  </si>
  <si>
    <t>10.1080/14747731.2024.2356354</t>
  </si>
  <si>
    <t>Magalhaes, Lina</t>
  </si>
  <si>
    <t>To inhabit across borders. A theoretical study on migrant women and transnational and cross-border homes</t>
  </si>
  <si>
    <t>migration; gender; border; home; theoretical analysis</t>
  </si>
  <si>
    <t>This paper interrogates how international migrant women develop experiences of homemaking across simultaneous spatialities. Is conducted a theoretical analysis of the uses of the concept of home in migration and border studies since the last decade of the twentieth century, with a specific focus on the transnational and cross-border dimensions of the phenomenon. It explores the particularities of cross-border homes, assuming that the research carried out in border territories has revealed an intensification of the inequalities experienced by women in these areas. Following the Heideggerian debates it is proposed that the inequalities experienced by migrant and cross-border women are materialized in their bodies and in their experiences of inhabiting, which has multidimensional implications in the way they articulate their homes. Final reflections on migration, women and the homemaking across borders are proposed.</t>
  </si>
  <si>
    <t>e065</t>
  </si>
  <si>
    <t>10.21670/ref.2102065</t>
  </si>
  <si>
    <t>Maggi M.F.; Hendel V.</t>
  </si>
  <si>
    <t>Intra and intergenerational relationships of young people on the move with migrant families (Argentina); [Relaciones intra e intergeneracionales de jóvenes en movimiento con familias migrantes (Argentina)]</t>
  </si>
  <si>
    <t>Migration; parent-child relationships; peer relationships; youth</t>
  </si>
  <si>
    <t>The article focuses on how the territorial mobility of young people in formal education who are from migrant families affect their intra- and intergenerational relationships. We used an ethnographic ap-proach with young people in schools in Argentina. We show that based on the perspectives of the young people who participated in the study, the family migratory project is usually a source of inter-generational tension, primarily in how they engage with their education. In addition, experiences of multiple territories appear in the reconstruction of socio-educational trajectories associated with both situations in which they have felt discriminated or stigmatized by their peers and with opportu-nities to develop new friendships. In these contexts, we observed that the experience of "feeling different" converts into a "we" in which the meanings of friendship are constructed and negotiated. © 2022 Revista Latinoamericana de Ciencias Sociales, Ninez y Juventud.All rights reserved.</t>
  </si>
  <si>
    <t>10.11600/rlcsnj.20.3.4811</t>
  </si>
  <si>
    <t>Magliano M.-J.; Perissinotti M.-V.</t>
  </si>
  <si>
    <t>The self-built periphery: Migrations, informality and urban segregation in Argentina; [La periferia autoconstruida: Migraciones, informalidad y segregación urbana en argentina]</t>
  </si>
  <si>
    <t>Migration; Segregation; Urban periphery</t>
  </si>
  <si>
    <t>This paper intends to reflect on the historical depth of the problem of access to urban space by South American migrants, especially Bolivians, Paraguayans and Peru-vians, in contemporary Argentina. Based on a qualitative methodology and considering the theoretical contributions of the perspective of the autonomy of migration, this study reconstructs certain continuities in the “State thought” that tends to associate certain migration with the increase of housing problems and, at the same time, shows the capacity of agency of the migrant population regarding the social production of habitat. Hence, urban migrant trajectories express not only forms of spatial segregation, but also the exis-tence of a “subaltern urbanism” that organizes and structures the daily life of a large group of migrant population. © 2020, Revista de Geografia Norte Grande. All rights reserved.</t>
  </si>
  <si>
    <t>10.4067/S0250-71612020000200005</t>
  </si>
  <si>
    <t>Magliano M.J.</t>
  </si>
  <si>
    <t>Migrant women, daily mobility and urban borders in an Argentinean city; [Mujeres migrantes, movilidades cotidianas y fronteras urbanas en una ciudad de Argentina]</t>
  </si>
  <si>
    <t>Argentina; daily mobilities; intersectionality; migration; urban borders</t>
  </si>
  <si>
    <t>This article focuses on the daily mobilities of Bolivian and Peruvian women residing in the city of Cordoba, Argentina, who migrated during 1990-2010 to the country. It analyzes the way in which urban borders determine and condition the spatial practices of female migrant population in the destination contexts. From the theoretical contributions of intersectionality and based on a qualitative methodology that combines participant observation, in-depth interviews and mobile methodologies with adult migrant women during 2009-2019, this study suggests that the spatial practices of these women merge restrictions on mobility marked by the existence of urban borders and, at the same time, legitimated circulations through the city under certain conditions. The main argument recognizes that these borders are updated based on a “know how to move” of migrant women that influence the ways of inhabiting the city. © 2023, Universidad Autonoma de Baja California. All rights reserved.</t>
  </si>
  <si>
    <t>10.21670/ref.2320131</t>
  </si>
  <si>
    <t>Maguolo S.</t>
  </si>
  <si>
    <t>Processes of capitalization of the gastronomic culture. The soldiers of the Peruvian gastronomic revolution in Turin; [Processi di patrimonializzazione della cultura alimentare. I soldati della rivoluzione gastronomica peruviana a Torino]</t>
  </si>
  <si>
    <t>Confluenze</t>
  </si>
  <si>
    <t>Food anthropology; Gastronomy; Migration; Patrimonialisation; Perù</t>
  </si>
  <si>
    <t>This paper analyses the practices of two Peruvian restaurant owners in Turin in relation to the process of capitalization of the gastronomic culture of their country of origin. This complex mechanism of social engineering aligned with the process of valorisation of the contemporary culinary phenomenon involves a wide network of actors both in the politic and socio-economic field. Their work as ambassadors of the gastronomic culture in Italy proves to be a mission of personal emancipation that gives them the possibility to form an alternative identity within the migration discourse. © 2019 Universita degli Studi di Bologna. All rights reserved.</t>
  </si>
  <si>
    <t>10.6092/issn.2036-0967/9564</t>
  </si>
  <si>
    <t>Maillet A.</t>
  </si>
  <si>
    <t>Más allá del "modelo" chileno: Una aproximación multi-sectorial a las relaciones Estado-mercado</t>
  </si>
  <si>
    <t>Revista de Sociologia e Politica</t>
  </si>
  <si>
    <t>Chile; Model; Multi-sectoral approach; Policy sector; State and market</t>
  </si>
  <si>
    <t>Chile has often been characterized as a "model" since the 1990s. However, this classification casts a shadow on diversity in state-market relations. On the contrary, an approach though multisectoral comparison allows to account for the heterogeneity of public policies in relation to markets, and not confuse them under an alleged homogenous "model". The argument is based on the analysis of sectoral trajectories in electricity, public transport in Santiago and pensions since the reforms made by the "Chicago Boys" during Pinochet's dictatorship until today. Based on press, interviews with key actors, and an extensive review of specialized literature, it shows how policies, departing from the same origin at the end of the dictatorship, took different paths during the democratic governments. Therefore, the Chilean case appears more fragmented than generally considered. Beyond this case, this diversity points to the need for greater attention to the processes of differentiation and autonomization of sectoral public policies.</t>
  </si>
  <si>
    <t>10.1590/1678-987315235504</t>
  </si>
  <si>
    <t>Maldonado F.L.M.; Cabrera A.C.S.; Ruiz D.G.C.</t>
  </si>
  <si>
    <t>The Traffic and Trafficking in Persons from the Pluralist Conception of the Ecuadorian State: Special Reference to the Kichwa Otavalo People; [El trafico y la trata de personas desde la concepcion pluralista del Estado ecuatoriano: especial referencia al pueblo Kichwa Otavalo]</t>
  </si>
  <si>
    <t>Revista Derecho del Estado</t>
  </si>
  <si>
    <t>cultural pluralism; human mobility; migrant trafficking; migration; Trafficking in human beings</t>
  </si>
  <si>
    <t>This research work is based on an analysis of trafficking and human trafficking from the pluralist conception of the Ecuadorian State, with special reference to the Kichwa Otavalo people. In such, it was analyzed what is related to the new constitutional regime of human mobility, in accordance with all the rights and principles that exalt human dignity in all mobility issues. In the same way, the legal scope of the plurinational State and the different manifestations of behaviors registered in the phenomena of trafficking and human trafficking in the Kichwa Otavalo context will be extended. Finally, the existing problem in the Ecuadorian State was addressed, related to the manifestation of various behaviors typical of customs, practices and uses of the various communities that erect legal pluralism, which can correspond to human trafficking and trafficking behaviors. However, from a pluralist perspective, in the aforementioned communities they are accepted, but not recognized as part of their culture. In such, an analysis of the aforementioned problem is carried out, considering the universal treatment meaning benefit to trafficking and human trafficking as practices contrary to human rights, however, preserving the national reality of the Ecuadorian Plurinational State, from the perspective of two cases concrete cases known by both ordinary justice and indigenous justice. © 2022 Universidad Externado de Colombia. All rights reserved.</t>
  </si>
  <si>
    <t>10.18601/01229893.N52.11</t>
  </si>
  <si>
    <t>Males L.J.; Vuollo E.</t>
  </si>
  <si>
    <t>For the right to education of the migrant community in Chile: Integrated approaches from the civil society and diverse educational actors; [Por el derecho a la educación de la comunidad migrante en Chile: Propuestas integrales desde la sociedad civil y diversos actores educativos]</t>
  </si>
  <si>
    <t>Antofagasta; Interculturality; Migration; Public education policy; Teacher training</t>
  </si>
  <si>
    <t>The current context of migration in Chile has resulted in a series of challenges for different actors in the world of politics, civil society and, certainly, in the world of education. In order to face these complex problems, the conviction of a Chilean NGO called Educacion 2020 has been, since its origins, to empower the citizenry and strengthen the capacities of the educational communities to participate actively in social development. From this perspective, Educacion 2020 presented a project that seeks to strengthen the right to quality education of migrant students in Antofagasta, a region of Chile that has the second highest number of migrant population in Chile. The following article presents the partial results of an experience of articulating different actors of the civil society to advance towards an intercultural education and to contribute to the design of public policies that consider the reality and experience of the territory. © 2020 Universidad Austral de Chile.</t>
  </si>
  <si>
    <t>10.4067/S0718-07052019000300333</t>
  </si>
  <si>
    <t>Mancilla C.; de Lima P.</t>
  </si>
  <si>
    <t>New immigrants in Chile: Determinants of their entrepreneurship; [Nuevos inmigrantes en Chile: Los determinantes de su actividad emprendedora]</t>
  </si>
  <si>
    <t>Chile; Entrepreneur; Foreigners; Immigrants; South America</t>
  </si>
  <si>
    <t>There is a dearth of economic literature that has focused on immigrants in Chile and their entrepreneurship. This is despite evidence that suggests immigrants are proportionally more likely to engage in entrepreneurial activities than local inhabitants. The objective of this paper is to explore the factors that influence individual's to engage in entrepreneurial activities among immigrants from South America in Chile. A rare event logit model was used to assess the factors that are likely to impact on entrepreneurial decision making processes. Results indicate that: length of residence, legal status on entry into the country, educational level and previous entrepreneurial experience influence the likelihood of entrepreneurship.</t>
  </si>
  <si>
    <t>Mandal B.; Pradhan K.C.</t>
  </si>
  <si>
    <t>A comparative study of health outcomes between elderly Migrant and non-migrant population in India: Exploring health disparities through propensity score matching</t>
  </si>
  <si>
    <t>SSM - Population Health</t>
  </si>
  <si>
    <t>Depression; Functional limitation; India; Migration; Multimorbidity; Self-rated health</t>
  </si>
  <si>
    <t>Migrants constitute a vulnerable segment of the population, particularly susceptible to various health challenges. Despite this, limited research has delved into the comparative health statuses of migrants and non-migrants in the rising elderly population. This study aims to bridge this gap by exploring health disparities between these two groups. Leveraging data from a nationally representative, large-scale Longitudinal Ageing Study in India (LASI) survey (n = 29002; 3103 Migrants and 25899 Non-migrants), this research focuses on four health indicators: self-rated health (SRH), depression, multimorbidity, and functional limitations. The study undertakes descriptive and bivariate analyses for migrant and non-migrant groups and employs propensity score matching techniques to fulfil its objectives. The findings reveal that for respective migrant and non-migrant populations, the prevalence of poor-SRH was 24.04 % and 16.29 %; depression was 12.32 % and 6.62 %; multimorbidity was 26.78 % and 15.71 %, and functional limitation was 28.35 % and 23.13 %. The study uncovers a 2.4 percentage point increase in poor self-rated health, a 1.0 percentage point rise in depression, and notably, a 4.2 and 1.0 percentage point elevation in multimorbidity and functional limitations among migrants relative to non-migrants. Evident from the outcomes is a stark health disparity, emphasising migrants' heightened vulnerability across multiple health dimensions. The implication of this research highlights the necessity for policy interventions aimed at eliminating health inequalities between migrant and non-migrant populations. © 2024 The Authors</t>
  </si>
  <si>
    <t>10.1016/j.ssmph.2024.101619</t>
  </si>
  <si>
    <t>Manoussaki-Adamopoulou I.; Sedacca N.; Benchekroun R.; Knight A.; Saavedra A.C.</t>
  </si>
  <si>
    <t>Refl ecting on Crisis</t>
  </si>
  <si>
    <t>Migration and Society</t>
  </si>
  <si>
    <t>Covid-19; Crisis; Doctoral training; Ethics; Ethnography; Methodology; Migration</t>
  </si>
  <si>
    <t>Th is article off ers a collective “gaze from within” the process of migration research, on the eff ects the pandemic has had on our interlocutors, our research fi elds, and our positionalities as researchers. Drawing from our experiences of researching a fi eld in increasing crisis, and following the methodological refl ections of the article written by our colleagues in this issue, we discuss a number of dilemmas and repositionings stemming from—and extending beyond—the eff ects of the COVID-19 pandemic. Focusing on issues of positionality, ethics of (dis)engaging from the research fi eld, and the underlying extractivist nature of Global North academia, we propose our own vision of more egalitarian and engaged research ethics and qualitative methodologies in the post-pandemic world © 2022,Migration and Society. All Rights Reserved.</t>
  </si>
  <si>
    <t>10.3167/arms.2022.050111</t>
  </si>
  <si>
    <t>Mansilla Aguero, Miguel Angel; Corrine Slootweg, Johanna</t>
  </si>
  <si>
    <t>Cross-border Religious Practices: Evangelical Churches as Networks of Mobility on the Chilean-Bolivian Frontier</t>
  </si>
  <si>
    <t>JOURNAL OF BORDERLANDS STUDIES</t>
  </si>
  <si>
    <t>Evangelicals; Pentecostals; indigenous; Aymaras; frontier; border; anthropology</t>
  </si>
  <si>
    <t>This article analyzes the cross-border religious practices of the Aymara and Quechua people, Peruvian and Bolivian evangelicals who inhabit the Tarapaca region in Chile. For this purpose, the cross-border nature of evangelical communities is illustrated, evangelicals are defined as communities of communities, and three aspects are analyzed that allow evangelical churches to be understood as networks of mobility on the Chilean-Bolivian frontier: 1. The role of the family as a mediator of affiliations; 2. The importance of unattached identifications and 3. The heterogeneity of forms of participation in evangelical churches. For indigenous communities, geographical mobility is a community need and an ancestral heritage. Religious mobility implies interconnections between different religious groups, such as border and cross-border network strategies.</t>
  </si>
  <si>
    <t>10.1080/08865655.2022.2115387</t>
  </si>
  <si>
    <t>Mansilla M.A.; Gómez S.L.; Rivera C.P.</t>
  </si>
  <si>
    <t>Border and Center Pentecostalism. Symbolic frontierization processes in the Chilean-Bolivian highland pentecostalism 1973-2007; [Pentecostalismo de frontera y pentecostalismo de centro. Procesos de fronterización simbólica en el pentecostalismo altiplánico chileno-boliviano 1973-2007]</t>
  </si>
  <si>
    <t>Estudios Atacamenos</t>
  </si>
  <si>
    <t>Altiplano; Bolivia; Border; Chile; Frontier; Pentecostalism</t>
  </si>
  <si>
    <t>The article proposes a reading of the border as a social and cultural construction through the concept of symbolic frontierization. It analyzes the representations and symbolic practices that Pentecostalism constructs on the border, showing the processes that take place between center and border Pentecostalism and specifying what we call an "altiplanization of Pentecostalism". The methodology consists of the systematic review of the "Fuego de Pentecostes" magazine between 1973 and 2007, seeking to analyze such processes in the Chile-Bolivia border. It concludes by synthesizing the main features of this symbolic frontierization and emphasizing the need to deepen the studies on these processes from the methodologies based on the observation of the contemporary contexts. © 2020, Universidad Catolica del Norte.</t>
  </si>
  <si>
    <t>10.22199/issn.0718-1043-2020-0015</t>
  </si>
  <si>
    <t>Mansilla Quinones, Pablo; Imilan, Walter A.</t>
  </si>
  <si>
    <t>Migrant reterritorializations through body and its expressions</t>
  </si>
  <si>
    <t>migration; territory; deterritorialization; body; territorial expression</t>
  </si>
  <si>
    <t>Migration challenges the relation between identity-building process and territory. Space has traditionally been observed as backdrop of social relations and practices, but a constructivist perspective leads the analysis to observe the practices producing space and territory. That space expresses itself on different territorialities. Some practices of migrant population produce territory on the bodies, so, the body becomes territory. This reflection expands the knowledge of migration and its spatial expression. The present text is based on ethnographical fieldwork on migrant beauty salons and barber shops in Santiago downtown. Considering these empirical observations, the text discusses multiple ways to produce space through the identity-building processes.</t>
  </si>
  <si>
    <t>10.4067/S0718-10432018005001503</t>
  </si>
  <si>
    <t>Mansilla, Miguel Ángel; Muñoz, Wilson; Piñones-Rivera, Carlos</t>
  </si>
  <si>
    <t>EL POSTPENTECOSTALISMO. LA CONCEPCIÓN DE LOS MIGRANTES PERUANOS Y BOLIVIANOS EVANGÉLICOS (QUECHUAS Y AYMARAS) SOBREEL PENTECOSTALISMO CHILENO</t>
  </si>
  <si>
    <t>Pentecostalism; post-Pentecostalism; indigenous; migration; northern Chile</t>
  </si>
  <si>
    <t>Abstract: The objective of this article is to analyze the indigenous evangelical migrants' beliefs about Chilean Pentecostalism, exploring the relationship between this form of Pentecostalism and that which they professed in their countries of origin. This vision is complemented by the nostalgic vision that evidences a sector of Pentecostalism and a generation of critical and reflective believers about the religious movement. The two disenchanted visions corroborate the nostalgic and critical view of the migrants.</t>
  </si>
  <si>
    <t>Marambio-Tapia, A. L. E. J. A. N. D. R. O.; Cubillos-Almendra, Javiera; Barraza, S. E. B. A. S. T. I. A. N. F. U. E. N. T. E. S.</t>
  </si>
  <si>
    <t>'WE ARE MORE UNCOUTH': EMPLOYER'S ASSESSMENT OF HOSPITALITY MIGRANT WORKERS IN MAULE, CHILE</t>
  </si>
  <si>
    <t>migrant labour; emotional labour; service culture; Maule</t>
  </si>
  <si>
    <t>This article addresses how migrant workers enter the labour force of the hospitality industry in the city of Talca and Curico, two medium-sized cities in the south-central zone of Chile, drawing on the assessment of employers. Through semi -structured interviews with managers of large and medium-sized hotels, we found two dimensions that build the evaluation of Venezuelan and Colombian workers in this economic subsector. The first one, linked to ethical and social factors attached to the condition of being migrant. The second one, linked to cultural factors and the emo-tional labour that these workers carry in their south-south migration process, which would be unevenly distributed according to nationality. From this perspective, we aimed to shed light on the contribution of migrant workers and the way skills and per-sonal features can be transformed into individual assets, attributed to migrant workers. We also discuss how these contribute to the idealized cultural production of good migrant workers.</t>
  </si>
  <si>
    <t>10.29393/At526-3NSMF30003</t>
  </si>
  <si>
    <t>Marañon M.; Kumral M.</t>
  </si>
  <si>
    <t>Empirical analysis of Chile's copper boom and the Dutch Disease through causality and cointegration tests</t>
  </si>
  <si>
    <t>Cointegration; Dutch disease; Granger-causality; Impulse-response function; Natural resources curse; Resource boom</t>
  </si>
  <si>
    <t>Over the period 1990–2018, Chile has experienced the great copper boom manifested in an initial phase of the strong expansion of the productive base, followed by a period of high copper prices derived from the supercycle. Over this period, Chile has achieved great social progress in poverty and wealth indicators that have allowed it to decouple its progress from that of its peers in the region. However, it is valid to ask whether, as a consequence of the mining boom, Chile has suffered from an industrial weakening and other negative effects as a result of the Dutch Disease (DD), jeopardizing the country's long-term economic progress. This paper proposes a methodology to evaluate whether the Chilean copper boom induced the DD symptoms in its economy through Granger-causality, cointegration, and impulse-response function over a vast set of socioeconomic variables. According to the authors' knowledge, the approach implemented allowed for the broadest empirical DD evaluation in the Chilean economy taking into account four crucial aspects: i) the political and economic regime established and consolidated along the 1990–2018 period; ii) the full Chilean copper industry expansion cycle; iii) the complete supercycle of the commodity prices; iv) data availability. The results suggest that the copper mining industry has not only allowed the country to enjoy an income surplus but actually levered the country's development. The proven success over the last three decades of Chile's mining development and windfall management should be a strong argument in favor of the model continuity and as a valid benchmark for macroeconomic management purposes by other countries in similar macroeconomic and idiosyncratic contexts. © 2020 Elsevier Ltd</t>
  </si>
  <si>
    <t>10.1016/j.resourpol.2020.101895</t>
  </si>
  <si>
    <t>Marcelo Zunino, Hugo; Hidalgo, Rodrigo</t>
  </si>
  <si>
    <t>LOOKING FOR THE GREEN UTOPIA: MIGRANTS IN THE BOROUGH OF AMENITY Pucon, IX Region of La Araucania, Chile</t>
  </si>
  <si>
    <t>amenity migration; territoriality; culture; social change</t>
  </si>
  <si>
    <t>This paper studies a specific segment of the amenity migrants who have settled in the Municipality of Pucon in recent years: those migrating to satisfy existential needs and achieve a greater connection with nature. We analyze the impact of these migrants on the socio-territorial, explores the reasons to look at, the level of attachment to the land and discuss the possibilities of this group to influence the social and political processes at local level. We conclude that although this group has a high degree of sense of belonging to the territorial place, their capacity to intervene in local government decisions and to defend their ideals is weak from the lack of organization and political commitment. Finally, we discuss the channels that are open to permeate the structures of local government.</t>
  </si>
  <si>
    <t>Marcelo Zunino, Hugo; Matossian, Brenda; Hidalgo, Rodrigo</t>
  </si>
  <si>
    <t>Occupation and development of tourist sites in the Nor-Patagonia region. Migration and border binational space</t>
  </si>
  <si>
    <t>Occupation; Patagonia; Argentina; Chile; social structure</t>
  </si>
  <si>
    <t>This work is aimed at offering a reading of the occupation of the nor-Patagonia region between the years 1980 and 2002. To advance a multidimensional and non-reductionist analysis of the process we consider both, historical processes as the social structure in place at both sides of the Andes Mountain Range; acknowledging that the temporal echoes and the social and political conjunctures define - in important ways - the possibilities and restriction for the mobility of individuals. The results show that a strong migration of Chileans to Argentina took place even in the most algid moments of the dictatorship of Augusto Pinochet; period in which labor migration and foremost that linked with political repression acquire relevance. During the 90's population increase concentrated in the Argentina's departments and Chile's municipalities which concentrate tourist resources. In many cases migration is not just for work reasons but also composed to an important extent of amenity and lifestyle migrants. In the last section, we consider the existing links between capitalism in crisis, tourist activity, and suggest some futures lines of research.</t>
  </si>
  <si>
    <t>10.4067/S0718-34022012000300009</t>
  </si>
  <si>
    <t>Marchant, Carla; Rojas, Fernanda</t>
  </si>
  <si>
    <t>Local Transformations and New Economic Functionalities Generated by Amenity Migration in Northern Chilean Patagonia Exploring Malalcahuello, a Small Mountain Village</t>
  </si>
  <si>
    <t>REVUE DE GEOGRAPHIE ALPINE-JOURNAL OF ALPINE RESEARCH</t>
  </si>
  <si>
    <t>amenity migration; northern Chilean Patagonia; real estate market speculation; special interest tourism; local economic transformations</t>
  </si>
  <si>
    <t>Amenity migration in the mountain regions of southern Chile is a phenomenon that academia has not analysed very often. However, it has gained greater prominence in recent years and is becoming an important factor in generating change in these rural areas. This paper presents the results of the economic and social transformations observed in Malalcahuello, a mountain village in northern Chilean Patagonia that finds itself in an emerging stage of this process. The arrival of new economic actors, together with amenity, has produced a revival in the village and developed new economic functions, now aimed at developing residential real estate and special interest tourism. These activities represent an opportunity and also a challenge for the future development of this mountain village as a tourist destination. Furthermore, changes in social dynamics have been observed and influenced by the new inhabitants in particular, who possess the means to take action to protect the environment and the territory. This has provoked a re-evaluation of the territory, in part by the traditional inhabitants.</t>
  </si>
  <si>
    <t>10.4000/rga.2988</t>
  </si>
  <si>
    <t>Marchetta F.</t>
  </si>
  <si>
    <t>Migration and nonfarm act vities as income diversification strategies: The case of Northern Ghana</t>
  </si>
  <si>
    <t>Canadian Journal of Development Studies</t>
  </si>
  <si>
    <t>Ghana; Income diversification; Migration; Nonfarm activities</t>
  </si>
  <si>
    <t>This article jointly analyses the determinants of participation in nonfarm activities and of migration in Northern Ghana, combining household data with community-level information and data on the evolution of the yields of cash and staple crops. Our results confirm the role of education as a key asset to pursue opportunities in the off-farm sector and the role of farm size in reducing the probability of participating in nonfarm activities. Poor households do not have enough resources to undertake nonfarm activities and they opt for migration as a diversification strategy. Community-level assets are found to play a crucial role for understanding off-farm diversification. © 2013 Canadian Association for the Study of International Development (CASID).</t>
  </si>
  <si>
    <t>10.1080/02255189.2013.755916</t>
  </si>
  <si>
    <t>Margarit, Daisy; Imilan, Walter; Olaya Grau, M.</t>
  </si>
  <si>
    <t>CURRENT MIGRATIONS IN MAGALLANES: CHARACTERIZATION AND TRAJECTORIES OF NEW MIGRATORY PROCESSES</t>
  </si>
  <si>
    <t>MAGALLANIA</t>
  </si>
  <si>
    <t>migration; migration trajectories; spatiality; networks; Southern territory</t>
  </si>
  <si>
    <t>The Magallanes province has now become a destination for the international migrant population. The objective of this article is to discuss the characteristics of this new migration, especially in the city of Punta Arenas, under the light of the migration processes that Chile experiences in recent years, with special focus on revealing the character of the migratory trajectories present in the region. In order to do this, four dimensions of the immigrant population are addressed: i) demographic characteristics; ii) relations of migratory flows with their places of origin; iii) spatialization in the city and iv) coexistence with the non-migrant population. The empirical information is based on the results of the project Characterization of the recent foreign migration in the province of Magallanes, a study carried out in the city of Punta Arenas and requested by the Government of Magallanes. The methodology used in the study was the realization of a population survey, through the analysis of secondary sources and the implementation of a survey aimed at the recent immigrant population of foreign origin.</t>
  </si>
  <si>
    <t>Margarit, Daisy; León, Valeria; Roessler, Pablo; Torres, Amanda; Álvarez, Imara</t>
  </si>
  <si>
    <t>Migración, ciudad y mujeres: la movilidad en la vida cotidiana como herramienta de conocimiento</t>
  </si>
  <si>
    <t>Migration; mobility; migrant women; neighborhood territories</t>
  </si>
  <si>
    <t>Abstract The increase in migratory movements in South America and specifically in Chile, creates the challenge of knowing the typologies of those who make up these flows beyond their category of foreigners. One of the characteristics observed is the marked feminization of certain groups, a fact that is obtained through official statistics. The image that is built through these data, namely, nationalities of origin, type of occupations, educational level, among others, does not allow us to know other dimensions of the daily life of migrant women. The objective of this article is to problematize mobility in the dimension of the daily life of migrant women in the commune of Santiago, contrasting the quantitative data in 7 neighborhood macrozones and on the other hand, the theoretical analysis through the installation of the mobility approach to understand how they move and how they build a new migrant spatiality from their daily journeys. This perspective integrates an intrinsic concern for the intersectional view, which contemplates the connection between gender, race and social class associated with marks of subjection or domination (Lugones 2008), making visible practices and strategies of mobility and collective care of the women that habited the studied territories. Methodologically, in a first stage, it is approached through a quantitative focus, making the construction of socio-territorial profiles. This phase is complemented with the use of cartography that provides the spatiality to the data in the neighborhoods grouped into macro zones according to the similarity of the results. In a second phase, a theoretical analysis of the mobility approach is carried out, which allows, through preliminary results of the fieldwork of two mobility studies, to identify some keys to this dimension of the daily life of migrant women. This last reading is crossed by a Latin American view of feminisms (Svampa, 2015).</t>
  </si>
  <si>
    <t>10.51188/rrts.num27.625</t>
  </si>
  <si>
    <t>Maria Otero, Adriana; Marcelo Zunino, Hugo; Rodriguez, Mariana</t>
  </si>
  <si>
    <t>Socio-cultural technologies in innovation processes of amenity and lifestyle migrants : The case of the tourist destination of Pucon, Chile</t>
  </si>
  <si>
    <t>Sociocultural technologies; amenity migration; lifestyle migration; Pucon</t>
  </si>
  <si>
    <t>Many mountain destinations receive the contribution of migrants from diverse cultures that generate enterprises and innovations. In general the literature has focused on analyzing social technologies present in process of innovation from the perspective of economic development, leaving aside the social and cultural benefits they entail for their communities. The objective of this paper is to understand the sociocultural technologies of amenity and lifestyle migrants in Pucon and investigate to what extent they contribute to a sustained process of innovation in cultural exchanges between migrants and the inhabitants of the host communities. We deploy a qualitative and exploratory methodology based on 12 in-depth interviews conducted with 12 individuals recently settled in the area and that have initiate processes of innovation. We argue that the sociocultural technologies deployed by the lifestyle migrants show the relevance of considering the contextual mode to comprehend the forms that the process of innovation acquires.</t>
  </si>
  <si>
    <t>10.4067/S0718-34022017000200011</t>
  </si>
  <si>
    <t>Marín-Alaniz, Jair</t>
  </si>
  <si>
    <t>Educando en la frontera norte de Chile: El patrimonio cultural desafiando la exclusión social</t>
  </si>
  <si>
    <t>migration; school; social exclusion; intangible cultural heritage</t>
  </si>
  <si>
    <t>Abstract: The objective of this article is to understand the context of social exclusion faced by children of migrant families residing in Chile, as well as the use of intangible cultural heritage that they use in school spaces to advance towards social inclusion. From a qualitative methodology, the sample was integrated by professors and psychosocial team who work in a public school. The technique used for the collection of information was focus group. Content analysis was used to analyze the data. The results reveal a geography of social exclusion expressed in the neighborhood, work and school context. However, valuation of intangible cultural heritage is also identified as a tool to move towards social inclusion.</t>
  </si>
  <si>
    <t>10.21670/ref.1819019</t>
  </si>
  <si>
    <t>Marin, Natalia Cardenas; Sanhueza, Cristian Alister; Gutierrez, Felipe Castro</t>
  </si>
  <si>
    <t>[en] Internal migration in the lake region of the Araucania: approaches for its study</t>
  </si>
  <si>
    <t>ANALES DE GEOGRAFIA DE LA UNIVERSIDAD COMPLUTENSE</t>
  </si>
  <si>
    <t>Amenity migration; mountain tourist destinations; service migration</t>
  </si>
  <si>
    <t>Nowadays, within the social sciences, migration studies are an important part of scientific research. In Chile, the internal migrations that took place during the 20th century were, in a certain sense, constitutive of the current urban and rural configuration of the country. This paper deals with a relatively new phenomenon in the study of migration in the country, corresponding to migration by amenity in the framework of migration to mountainous landscapes in southern Chile, especially in the territorial space of the Araucania region, also known as the lake area. To this end, this research focuses on developing a theoretical review of the current state of the concept of amenity migration, with the aim of finding a conceptual convergence that allows us to analyse, through secondary data, the migration patterns present in the lake area of the Araucania region. From the analysis of secondary data, gaps in economic income and schooling levels between migrants and the population born in the communities studied are evident. Taking into account the characteristics of migrants in terms of their socio-economic conditions and the activities to be developed in the host place is decisive when projecting the economic, social, cultural and spatial transformations, processes and effects of migration by amenity. Keywords: Amenity migration; mountain tourist destinations; service migration.</t>
  </si>
  <si>
    <t>10.5209/aguc.85175</t>
  </si>
  <si>
    <t>Marolla, Jesus</t>
  </si>
  <si>
    <t>The Difficult Task of Interculturality from the Social Sciences Teaching. Comparative Analysis of the Programs of Argentina, Colombia and Chile</t>
  </si>
  <si>
    <t>FUTURO DEL PASADO-REVISTA ELECTRONICA DE HISTORIA</t>
  </si>
  <si>
    <t>Interculturality; multiculturalism; curriculum; inclusion; discrimination</t>
  </si>
  <si>
    <t>The following article is a comparative study of the curriculum that is currently used in the countries of Argentina, Colombia and Chile about the work of interculturality. The paper analyzes and reflects, from critical media literacy, the treatment of texts, activities and curricular teaching and learning proposals considering the theoretical perspectives on multiculturalism and critical interculturality defined by Walsh (2012), Quijano (2000) and Tubino (2005). Presences and absences migrants, indigenous ethnicities and Afro-descendants that are part of the stories included in the curricula are presented, as well as the roles and speeches that are transmitted about their actions and participation in society. The objectives are to reflect on the presence and / or absence of ethnicities and Afro-descendant groups in the curricula of these countries and analyze the role assigned to these groups in the documents that are part of the study. The present work is part of a broader investigation that is in charge of investigating the conceptions of the teachers of history and social sciences in establishments with the presence of migrant students. From the didactics of the social sciences, we reflect on the processes and discourses on inclusion, migration, ethnicities, Afro-descendants and their roles in the construction of history.</t>
  </si>
  <si>
    <t>10.14516/fdp.2019.010.001.006</t>
  </si>
  <si>
    <t>Marquez B, Francisca</t>
  </si>
  <si>
    <t>ABOUT TERRITORIES, FRONTIERS AND INMIGRANTS. TRANSLOCAL REPRESENTATIONS IN LA CHIMBA, SANTIAGO DE CHILE</t>
  </si>
  <si>
    <t>Frontiers; migrants; translocation; representation</t>
  </si>
  <si>
    <t>This article describes and interprets the construction of dwellings in border territories based on the translocal representations of Latin American immigrants. Patterns of migration in urban territories is of interest not only because of their relevance to the construction of civic identities but also translocal residential patterns. Starting with the study of representations - cognitive maps-of Peruvian immigrants of the XXI century, who were residents of La Chimba in Santiago de Chile, this paper explores these shifts and the local and global implications for the construction of dwellings in our cities. It concludes that it is the experience of translocal residence -neither as close nor as far-that builds the specificity of borderlands. That is, territories that are diverse, heterogeneous, and with hybrid cultures - through real and imaginary displacements-celebrate and enable the urban conditions of our cities. It therefore proposes an anthropology that digs into the silence and the memories of those itinerant and displaced individuals and groups without whose stories the urban condition will forever be incomplete.</t>
  </si>
  <si>
    <t>10.4067/S0717-73562013000200008</t>
  </si>
  <si>
    <t>Márquez, Francisca; Correa, Juan José</t>
  </si>
  <si>
    <t>Identidades, arraigos y soberanías: Migración peruana en Santiago de Chile</t>
  </si>
  <si>
    <t>uprooting; foreign; social ties; identity</t>
  </si>
  <si>
    <t>From an empirical and theoretical perspective, the study analyzes the growth of experiences of cultural up-rooting among those who arrive to live in a society that is different from their own, and, concretely, the case of Peruvian immigrants who are residents of Santiago, Chile, today. Considering three life stories, migratory paths are treated in terms of: the development of the condition of foreigner and stranger to the society of their origins as well as the place of arrival; the nature of the social ties that are built during this process of up-rooting; and the cultural resources through which the subjects move as a function of dealing with that up-rootedness. The conclusion hypothesizes that the experience of moving away from their culture of origin becomes a potential strengthening of the social ties of the immigrants, although this is always an unfinished growth process, producing a more open identity that is flexible in the face of cultural diversity and the uncommon.</t>
  </si>
  <si>
    <t>Marquez, Jaime Valenzuela</t>
  </si>
  <si>
    <t>Diaspora of Andean Indians and Denaturalization of Araucania Indians: Two Cases of Indian Immigration and Categorization in the Establishment of Colonial Chile</t>
  </si>
  <si>
    <t>DIASPORAS-HISTOIRE ET SOCIETES</t>
  </si>
  <si>
    <t>Since the conquest of America, the Spanish have used the movement of indigenous peoples to support the logistics of their expeditions. That is how many Andean Indians came to Chile. They settled and integrated, creating a migration that despite an initial uprooting, kept its diasporic conditions in generating a kind of re-ethnification of the Andean people. On the other hand, when faced with hostilities, natives with a greater consistency, the Spanish applied more radical forms of forced movement, such as kidnapping and deportation of the rebels, under a system of more or less legalized slavery. This happened, for example, with the denaturalization of the Mapuches of southern Chile. This paper accounts for the phenomena of forced movement, displacement, settlement and categorization of these Indian immigrants as a constitutive part of the Chilean colonial society.</t>
  </si>
  <si>
    <t>Martin-Neira J.I.; Trillo-Domínguez M.; Olvera-Lobo M.D.</t>
  </si>
  <si>
    <t>Science communication on Instagram: uses and strategies from the Chilean praxis; [Divulgação científica no Instagram: usos e estratégias da práxis chilena]; [La divulgación científica en Instagram: usos y estrategias desde la praxis chilena]</t>
  </si>
  <si>
    <t>Cuadernos.info</t>
  </si>
  <si>
    <t>Chile; Instagram; public communication of science; science journalism; social media</t>
  </si>
  <si>
    <t>Both academic research and industry reports show how social networks have penetrated at a fast pace in Latin America. From the challenge of making specialized knowledge accessible to society, this phenomenon is an opportunity to learn how they are being used for scientific journalists working in specialized institutions. This study focuses ontheChileancontext, payingspecialattentiontoInstagram. Duetoits particularitiesand visual characteristics, this social network is replacing other applications such as Twitter and Facebook as a tool for scientific communication. The perception of the journalists working in scientific institutions and centers and their relationship with Instagram is hereby revealed, and its further analysis is developed based on a questionnaire with open and closed questions, which represents a contribution to the study on the journalistic use of social media. According to the results, 70% of those consulted identify Instagram as the most frequently used application for scientific dissemination on social media, due to its dynamismandvisualcapabilitiestodelivermessages. However, althoughthereisa positive assessment of the platform and its importance as a great ally for the dissemination process, there is also a needto focus the messages andapply appropriate graphic criteria for greater effectiveness on posts and more engagement with the audiences. © 2022 Pontificia Universidad Catolica de Chile. All rights reserved.</t>
  </si>
  <si>
    <t>10.7764/cdi.53.42515</t>
  </si>
  <si>
    <t>Martínez A.Z.</t>
  </si>
  <si>
    <t>Transnational mothering and fathering: A reflection on the basis of mediated interaction processes; [Maternidades y paternidades transnacionales: Una reflexión desde los procesos de interacción mediada]</t>
  </si>
  <si>
    <t>Revista Colombiana de Sociologia</t>
  </si>
  <si>
    <t>Family; Fathering; Interaction; Migration; Mothering; Parenting; Transnational</t>
  </si>
  <si>
    <t>The objective of this article is to reflect on transnational mothering and fathering, and specifically, on how parent-child relations and bonds are preserved from a physical distance, on the basis of mediated interaction processes in which technological and communications resources are used in order to establish connections among family members who are in two or more countries as a result of international migration processes. Thus, our starting point is the premise that immigrant mothers and fathers and their children located in the country of origin can maintain their relations and bonds despite the physical distance, by means of interaction processes that do not necessarily entail living in the same place or establishing face-to-face relations, and in which the real and the virtual, the close and the distant, are brought together. This involves not only the connection of spaces and times, but also of persons joined by kinship bonds that are constantly constructed and deconstructed in everyday family life. The first part of the article thus addresses and discusses the concepts of parenting, transnational parenting, transnational mothering, and transnational fathering, which go beyond being a mother or a father and entail new forms of building a family. The second part introduces the discussion of family interaction processes associated with mediated interaction situations, which use communications and techonological resources to generate relational and binding dynamics. This makes it possible to create conversational routines that both convey information and generate family interaction processes, in which the group and the collective, the shared and the common are built. In these interactions, emotions become a key element of everyday family life by making it possible to build affective bonds despite the physical distance. © Universidad Nacional de Colombia.</t>
  </si>
  <si>
    <t>10.15446/rcs.v43n1.78954</t>
  </si>
  <si>
    <t>Martínez C.</t>
  </si>
  <si>
    <t>Unexpected migrants. Zamucoan and Chiquitano in the foundation of Vila Maria do Paraguai (Mato Grosso), eighteenth century; [Los migrantes menos pensados. Zamuco y chiquito-hablantes en la fundación de Vila Maria do Paraguai (Mato Grosso), siglo XVIII]</t>
  </si>
  <si>
    <t>Revista de Indias</t>
  </si>
  <si>
    <t>Chiquitanos; ethnogenesis; Mato Grosso; migration; Zamucoan</t>
  </si>
  <si>
    <t>The comparison of two late colonial documents of the Chiquitos Governerate and the Mato Grosso Captaincy shows that Chiquitano- and Zamucoan-speaking indigenous people from Chiquitos (now Bolivia) played a leading role in the foundation of Vila Maria do Paraguai, contrary to the most widespread versions that argue their Arawak and Otuqui affiliation. Furthermore, the analysis of the context in which their migration to Mato Grosso took place emphatically questions the idea of return to their place of origin as the main motivation for Chiquitos. Other variables are also considered, in addition to their ethnic background, including their interethnic relations, and the sociocultural change they experienced as a result of their active participation in decisive historical regional processes. © 2022 CSIC Consejo Superior de Investigaciones Cientificas. All rights reserved.</t>
  </si>
  <si>
    <t>10.3989/revindias.2022.011</t>
  </si>
  <si>
    <t>Martínez Canabal, Luz</t>
  </si>
  <si>
    <t>Necesidad y Utopía en lamodernidad temprana y en la conquista de Chile</t>
  </si>
  <si>
    <t>Sophia Austral</t>
  </si>
  <si>
    <t>utopia; discovery; need; discontent; kingdom of Chile; modernity; psychoanalysis</t>
  </si>
  <si>
    <t>Abstract: This work proposes that the “news of the New World” had a decisive influence on the migration of the subject of Judeo-Christian need from the theological sphere to that of philosophy and 16th-century politics, from that period on. The reflection on these matters includes commentary from several kinds of texts from the 16th century to the 20th: letters of discovery, philosophical treatments, poems written in kingdom of Chile, even texts from the field of psychoanalysis.</t>
  </si>
  <si>
    <t>21</t>
  </si>
  <si>
    <t>Martinez Damia, S.; Marzana, D.; Alfieri, S.; Pozzi, M.; Marta, E.; Martinez, M. L.</t>
  </si>
  <si>
    <t>Psychological and Structural Barriers to Immigrant Community Participation: The Experience of Peruvians in Santiago de Chile</t>
  </si>
  <si>
    <t>AMERICAN JOURNAL OF COMMUNITY PSYCHOLOGY</t>
  </si>
  <si>
    <t>Community participation; Critical research; Peruvian immigrants; Santiago de Chile; Social justice</t>
  </si>
  <si>
    <t>Community participation can be considered a pillar for the promotion of social justice and well-being for immigrants in new countries. Participation may be influenced by different forms of oppression which decrease opportunities for immigrants to be engaged. The present study explores the difficulties that Peruvian immigrants encountered and still encountering to participate in Santiago de Chile through in-depth qualitative interviews. Eighteen semi-structured interviews were conducted with Peruvian leaders of Ethnic Community Based Organizations (ECBOs) in Santiago de Chile. Interviews focused on the community engagement of Peruvians highlighting the difficulties they encountered when deciding whether to engage and throughout the process of carrying out their commitment, along with their perceptions when trying to engage their compatriots. The present study contributes to the literature in three aspects. First, it focused on the phenomenon of South-South migration. Secondly, it delved into the psychological and structural barriers that immigrants' experience, considering their disadvantaged conditions. Thirdly, it used Situational Analysis, along with the constructionist drift of Grounded Theory, which is widely used in critical, qualitative research, and is sensitive to producing situated knowledge. Coding and mapping analysis identified experiences related to historical trauma, transnational bonds, and dominant master narratives in both countries as well as challenges due to balancing time and priorities, surviving institutional deterrents, and inter-organizations competitiveness. Finally, transnational commitments, mechanisms of social disconnection, and under valuated rights that Peruvians may live in Chile were pointed out. These results intend to have practical implications for immigrants and for community psychologists.</t>
  </si>
  <si>
    <t>10.1002/ajcp.12472</t>
  </si>
  <si>
    <t>Martínez Martín L.</t>
  </si>
  <si>
    <t>Shared letters: writing and reading practices in the correspondence of migrant families in northern Spain</t>
  </si>
  <si>
    <t>History of the Family</t>
  </si>
  <si>
    <t>Americas; Asturias (Spain); delegated writing; family ties; letter writing; Migration</t>
  </si>
  <si>
    <t>Letters generated in the emigration context are produced in a family environment and designed to circulate within it. This correspondence had great symbolic value: it represented those who were absent, and it was vital to ensuring family support. To explore these family documents, it is necessary to devote some time to the situations in which the texts were generated and the contexts in which they were received. Approaches to epistolary testimony such as this usually take as reference the sender and recipient of the letter, and consider the exchange as something that took place between two individuals who based their relationship on paper. But behind this sender and this receiver, there was often a whole community of scribes and readers. When we study these writings, we notice the polyphonic nature of these letters. When a family member emigrated, it was not only the nuclear family that was broken up; there was a multiplication of voices interested in getting noticed through paper and pen, and they did so by delegating the act of writing and by including their own notes in the writings of others. In this sense, the letters allow us to glimpse different voices, and follow numerous individuals in their exchange of letters. This shared form of writing is the focus of analysis in this article. Here, I draw my analysis from a series of correspondence exchanged by emigrants and their families from the region of Asturias (in northern Spain) who immigrated to different parts of America from the 1850s to the 1930s. These letters offer rich historical testimonies of immigrants and their loved ones who stayed in touch over large distances. © 2016 Informa UK Limited, trading as Taylor &amp; Francis Group.</t>
  </si>
  <si>
    <t>10.1080/1081602X.2016.1141109</t>
  </si>
  <si>
    <t>Martinez Rojas, David; Munoz Henriquez, Wilson; Mondaca Rojas, Carlos</t>
  </si>
  <si>
    <t>Racism, Interculturality, and Public Policies: An Analysis of the Literature on Migration and the School System in Chile, Argentina, and Spain</t>
  </si>
  <si>
    <t>SAGE OPEN</t>
  </si>
  <si>
    <t>migration; education; racism; interculturality; public policies</t>
  </si>
  <si>
    <t>In the last decades, Chile has become a receiving society of migrants, and this has overtaxed the social services in this country, among them the school system. According to the literature, the issue is that migration has not been addressed with a proper response from public policies. This article aims to examine recommendations for the development of these policies. To undertake this task, we have conducted a systematic review of the literature on this issue in Chile, Argentina, and Spain (1990-2018). The three cases show the presence of discrimination and racism, with a common response taking the form of intercultural education. In terms of differences, only in Spain there is a consolidated body of research and public policies that focus on migration. That said, although the policies are more robust in Spain, several studies critically assess them. Hence, this country is a good example to know what to do and what to avoid. That information is exactly what is needed in countries like Chile where migration has become pressing issue that demands a proper response.</t>
  </si>
  <si>
    <t>10.1177/2158244020988526</t>
  </si>
  <si>
    <t>Martínez-Conde C.Á.; Martínez M.M.</t>
  </si>
  <si>
    <t>Memory, migration and collective action: Immigrant struggles in Barcelona; [Memoria, migración y acción colectiva: Luchas migrantes en Barcelona]</t>
  </si>
  <si>
    <t>Scripta Nova</t>
  </si>
  <si>
    <t>Collective action; Collective memory; Human rights; Migration; Narrative productions</t>
  </si>
  <si>
    <t>The memories of the struggles for immigrant people’s rights are a productive space to rethink systems of the political action and the exercise of rights for subjects that have been excluded from the public sphere. In this paper, we discuss, through the technique of Narrative Productions, the memories of activists of these collective actions in Barcelona between 2000 and 2017. The points of discussion explore the exercise of memory, where intelligibility matrices are established through remembering, constituting collective agency subjects and enabling different political strategies and articulations against precarity. © Catalina Álvarez &amp; Marisela Montenegro, 2020.</t>
  </si>
  <si>
    <t>10.1344/sn2020.24.28407</t>
  </si>
  <si>
    <t>Martínez-González A.E.; Rodríguez-Jiménez T.; Piqueras J.A.; Vera- Villarroel P.; Torres-Ortega J.</t>
  </si>
  <si>
    <t>Emotional and behavioural symptoms, risk behaviours and academic success in Chilean Mapuche and non-Mapuche adolescents</t>
  </si>
  <si>
    <t>academic success; adolescence; behavioural symptoms; emotional symptoms; Mapuche; risk behaviours</t>
  </si>
  <si>
    <t>Introduction: There is controversy over the real existence of differences in mental health and academic performance between the Mapuche ethnic minority male adolescents and the male adolescents not belonging to this ethnicity in Chile. Objective: In consequence, the aim of this study was to investigate the differences in emotional and behavioural symptoms, risky behaviours and academic success on the Chilean Mapuche and non-Mapuche adolescents. Design: The sample consisted of 233 adolescents of which 119 were Mapuche adolescents and 114 were non-Mapuche adolescents. Results: The results showed that the Mapuche adolescents do not have more anxiety problems and depression than the non-Mapuche adolescents. Furthermore, the Mapuche adolescents present less drug consumption and behavioural problems. Moreover, there were no differences in academic performance. Conclusions: This study provides social interest data of the adolescents' mental health, which can be useful for the country's socio-sanitary and political decisions. Future studies should investigate these and other variables related to the mental health of minorities in greater depth. © 2018, © 2018 Informa UK Limited, trading as Taylor &amp; Francis Group.</t>
  </si>
  <si>
    <t>10.1080/13557858.2018.1427702</t>
  </si>
  <si>
    <t>Martinez-Pizarro, Jorge; Reboiras-Finardi, Leandro</t>
  </si>
  <si>
    <t>Migration, human rights and sexual and reproductive health: a complicated equation at the border</t>
  </si>
  <si>
    <t>migrants; borders; vulnerability; human rights; sexual and reproductive health</t>
  </si>
  <si>
    <t>Some problems that arise from the intersection of international migration, human rights and sexual and reproductive heal are analyzed in five border regions in Latin America, considering the conditions of accessibility and the specific territorial scenarios, where a greater vulnerability and exposure to risks for the mobile populations is propitiated. We distinguish that migrants of borders are a collective whose life conditions are continually undermined or they deny the exercise of their human rights and make the migrants be in practices and situations of risk. We state some conclusions to contribute to the design of a regional agenda on migration, rights and sexual and reproductive health at border regions.</t>
  </si>
  <si>
    <t>Martínez-Zelaya, Gonzalo Pedro; Mera-Lemp, María José; Bilbao, Marian</t>
  </si>
  <si>
    <t>Preferencias aculturativas y su relación con la sensibilidad intercultural y el bienestar</t>
  </si>
  <si>
    <t>Revista de psicología (Santiago)</t>
  </si>
  <si>
    <t>Acculturation; Host Society; Cultural Preferences; Psychological Well-being; Intercultural Sensitivity</t>
  </si>
  <si>
    <t>Abstract: Migration, from a psychosocial perspective, is conceived as a process that mobilizes two-way socio-cognitive and cultural changes, both from processes of adjustment of the receiving society and the foreign population. According to the Interactive Model of Acculturation of Bourhis and collaborators (1997), the preferences of acculturation of the members of the receiving communities determine in great part the quality of the relations and interchanges that are established with the migrant groups, delimiting the degree and type of participation that can them within the society. The objective of this work is to explain the variability of each of the acculturative preferences of members of the host society through dimensions of well-being and intercultural sensitivity. The sample was of 255 university students and their relatives living in Santiago de Chile, where the percentage of women and 68.2% and men 31.8%. The ages fluctuated between 18 and 75 years. The results show relationships between the different acculturative preferences, well-being and dimensions of intercultural sensitivity. Finally, the acculturative preferences of the receiving society are influenced by individual variables that can be trained as intercultural sensitivity and different dimensions of well-being.</t>
  </si>
  <si>
    <t>10.5354/0719-0581.2020.55961</t>
  </si>
  <si>
    <t>Martinez, Cesar Augusto Ferrari</t>
  </si>
  <si>
    <t>Affective geopolitics: nation narratives from Colombian students in Chile</t>
  </si>
  <si>
    <t>COMPARE-A JOURNAL OF COMPARATIVE AND INTERNATIONAL EDUCATION</t>
  </si>
  <si>
    <t>Affective geopolitics; student mobility; international education; Latin Americans; gender migration</t>
  </si>
  <si>
    <t>Motivated by increasing Colombian immigration in Chile, this paper aims to understand the production of Colombian students attuned with the geopolitical discourses on immigrants in Santiago. Inspired by feminist geographers, it considers the nation as an affective device and geopolitics as the power asymmetries resulting from the encounter of different corporealities. Three cases are used to produce narratives about the affective geopolitics influencing Colombian doctoral students in Chile by analysing how their trajectories create unbalanced powers and affect how they live and re-signify their bodies and nationality. The results indicate that, by presenting themselves as Colombians, students are associated with stigmatised Colombian bodies, which include the notions that they are sexually reified, black, poor, and vulgar. At the same time, they try to dissolve the stereotype of the Colombian person in Chile and use their privileged positions as high-skilled graduate students to detach from the great Colombian immigrant flow.</t>
  </si>
  <si>
    <t>10.1080/03057925.2020.1847045</t>
  </si>
  <si>
    <t>Student mobility and the production of Chile as an international academic hub</t>
  </si>
  <si>
    <t>GLOBALISATION SOCIETIES AND EDUCATION</t>
  </si>
  <si>
    <t>International academic mobility; jumping scales; academic hubs; international students; internationalisation of higher education; Latin America</t>
  </si>
  <si>
    <t>In this paper, an analysis of the spatial production of Chile as an international academic destination for doctoral students is put forward. This arises from the notion of internationalisation as a process of the rescaling of university marketplaces and international students as consumers of global scales of excellence. As such, it proposes the concept of an international academic hub to understand how a space oriented towards a 'global north' is produced and articulated with the guidelines of economic globalisation. Four case studies of interviews with foreign doctoral students in Chile are used to explore narratives of the international in discourses about academic trajectories within the country. The results indicate that Chile is configured as a compensatory destination and that its internationalisation policies indicate a directionality towards globally legitimised destinations.</t>
  </si>
  <si>
    <t>10.1080/14767724.2020.1793115</t>
  </si>
  <si>
    <t>Martinez, M. Loreto; Ropert, M. Teresa; Rivas, Conzuelo; Valdes, Nicolas</t>
  </si>
  <si>
    <t>Identity Narratives of Youth Involved and Uninvolved in Social and Political Participation</t>
  </si>
  <si>
    <t>QUALITATIVE PSYCHOLOGY</t>
  </si>
  <si>
    <t>narrative identity; young adulthood; identity profiles; social and political participation</t>
  </si>
  <si>
    <t>The individuation and autonomy achievement processes render young adulthood a suitable period to examine how experiences in the social world, particularly those associated with social and political participation, related to identity formation. Through a thematic analysis focused on dimensions of autobiographical reasoning and a narrative profile analysis focused on the thematic coherence of life stories, we explore whether and how experiences of social and political participation connect to their sense of self in a sample of 34 Chilean young adults, half of them involved in different forms of civic and political participation. Experiences of social and political participation were more frequently highlighted in narratives of participants that were actually involved in social or political initiatives at the time of the study. Compared to the uninvolved group, the involved group provided more elaborate self-event connections and elaborated on how these experiences significantly shaped who they became. Six themes reflecting sociopolitical and idiosyncratic features of the Chilean history (urban migration, social and economic disparities, 1973-1990 military rule, intergenerational impact of political violence, natural disasters, and students' mobilizations) emerged in participants' narratives, confirming the sociocultural embeddedness of personal narratives. Finally, eight profiles that reflect the diverse meanings and forms in which experiences of social and political participation are integrated into a sense of self were identified. Profiles were distinguished in terms of their commitment and their orientation to self-enhancing versus concern for other motives. Methodological challenges, limitations of the study, and future directions for research are discussed.</t>
  </si>
  <si>
    <t>10.1037/qup0000260</t>
  </si>
  <si>
    <t>Martinez, Soledad</t>
  </si>
  <si>
    <t>'Nobody ever cuddles any of those walkers': the material socialities of everyday mobilities in Santiago de Chile</t>
  </si>
  <si>
    <t>Walking; material socialities; urban materials; senses; affectivities</t>
  </si>
  <si>
    <t>In this article I bring forward the notion of 'material socialities' to make sense of the sensory and affective relationships between walkers and the materials of places that emerge in everyday walking practices in Santiago de Chile. Materials not only make possible everyday movement in cities, as they have been usually addressed by mobilities studies, but they are also constitutive of mobile experiences and practices in sensory and affective ways. Based on ethnographic fieldwork I undertook in Santiago between 2015 and 2016, I describe relevant materials for those people who walk habitually in a context of urban sociospatial inequality and I distinguish forms of socialities related to walkers' feelings of being welcomed or repelled by the places in which they walk. By detailing how materials of places create forms of sensory and affective socialities through habitual encounters, my article enlarges the conceptual toolbox of mobilities to consider materials as constitutive elements of mobile practices and, in this way, I respond to the call made by mobilities' scholars for a more materially sensitive approach to envisage the complexities of mobile situations.</t>
  </si>
  <si>
    <t>10.1080/17450101.2021.1999776</t>
  </si>
  <si>
    <t>Marzana, Daniela; Sara, Martinez Damia; Marta, Elena; Maura, Pozzi; Maria Loreto, Martinez</t>
  </si>
  <si>
    <t>Engagement in migrant organizations for immigrant integration: A mixed-method study with Peruvians in Chile</t>
  </si>
  <si>
    <t>Community engagement; Concurrent nested design; Integration; Peruvian immigrants; Santiago de Chile; Superordinate identity</t>
  </si>
  <si>
    <t>Immigrant communities in Chile face barriers to their integration, in the form of discrimination and social exclusion. Psychology of liberation claims that, when minority groups experience oppressing conditions, community engagement can be a path toward integration. Nevertheless, community participation has been mainly studied in North America and Europe. Through a concurrent nested mixed-method design, this study explores the relation between community engagement and perception of integration of Peruvian immigrants in Santiago de Chile. One hundred and ten Peruvians (age range 19 to 52 years), engaged in migrant organizations (MOs), completed a self-report questionnaire that aims to identify the predictors of integration based on psychosocial perspective (education), acculturation (national identity and ethnic identity), and liberation psychology literature (perceived institutional sensitivity, knowledge of the Chilean culture and laws). Additionally, 18 Peruvian leaders (ages 31 to 56 years) were interviewed in order to explore intergroup relations and organizational strategies that their MOs use to enhance integration. An interesting and novel finding points to the role of a Latin-American identity that appears to have potential negative consequences in maintaining the status quo for the social exclusion that Peruvians currently face.</t>
  </si>
  <si>
    <t>10.1007/s12134-021-00928-9</t>
  </si>
  <si>
    <t>Mason R.</t>
  </si>
  <si>
    <t>Incorporating Injustice: Immigrant Vulnerability and Latin Americans in Multicultural Australia</t>
  </si>
  <si>
    <t>Australia; Latin American migrants; Migrant activism; Migration; Multiculturalism; Transnationalism</t>
  </si>
  <si>
    <t>The article focuses on the emotional connections that bind migrants in Australia with their former homes. More specifically, it analyses how Australian migrants respond to perceptions of continuing injustice in their countries of birth. The article is based on a study of Latin American Australians, a group whose diversity offers conceptual spaces through which to explore emotional connections and transference between groups in Latin America and Australia. I focus on emotion and activist engagement, arguing that it is indicative of migrants’ response to vulnerability and injustice in contemporary multiculturalism. As such, Latin American Australians offer an important example of Australia’s changing experience of multicultural and transnational connectivity, the significance of which extends beyond the particular community. © 2014, © 2014 Taylor &amp; Francis.</t>
  </si>
  <si>
    <t>10.1080/07256868.2014.944112</t>
  </si>
  <si>
    <t>Matarrita-Cascante D.</t>
  </si>
  <si>
    <t>Moving the amenity migration literature forward: Understanding community-level factors associated with positive outcomes after amenity-driven change</t>
  </si>
  <si>
    <t>Amenity migration; Community development; Costa Rica; Impacts of migration</t>
  </si>
  <si>
    <t>The amenity migration literature has been growing for close to four decades, paying specific emphasis to the causes and consequences of this phenomenon, characterizing and understanding the amenity migrants, and contrasting them to their counterparts. While these major topics have provided key contributions to the understanding of amenity migration, the literature lacks deeper knowledge of the factors that can lead to positive outcomes after such phenomenon. Particularly lacking are studies examining community-level processes that can help find ways to address the impacts associated with amenity migration. This study intends to move the literature on amenity migration forward by examining community-level factors associated with positive responses to the challenges posed by this phenomenon. By comparing two Costa Rican communities experiencing amenity migration, we respond to the question: What community factors lead to positive outcomes after experiencing amenity migration? The study found that the way the community feels about change and migrants, migrants’ perceived roles in the local economy, the relation between locals and migrants, and the existence/establishment of community development efforts are critical factors for positive outcomes. © 2017 Elsevier Ltd</t>
  </si>
  <si>
    <t>10.1016/j.jrurstud.2017.05.004</t>
  </si>
  <si>
    <t>Matarrita-Cascante D.; Suess C.</t>
  </si>
  <si>
    <t>Natural amenities-driven migration and tourism entrepreneurship: Within business social dynamics conducive to positive social change</t>
  </si>
  <si>
    <t>Tourism Management</t>
  </si>
  <si>
    <t>Amenity migration; Emotional solidarity; Entrepreneurial amenity migrant; Inclusive tourism; Rural social change</t>
  </si>
  <si>
    <t>This study examines the within tourism businesses social dynamics that lead to positive community social change via the reduction of barriers between amenity migrants and locals. The overarching study question is: What social dynamics happen within amenity migrant owned tourism businesses that are reducing social barriers between migrants and locals and leading to positive social change in the community? Findings show the existence of a dynamic interplay between the amenity migrants and locals who are working together that reflect rational (providing opportunities for locals to become tourism producers, promoting mutual understanding and respect, widening the participation of locals in decision-making) and emotional (welcoming nature, sympathetic understanding, emotional closeness) dimensions, reducing their differences and creating positive social change in the community. © 2020</t>
  </si>
  <si>
    <t>10.1016/j.tourman.2020.104140</t>
  </si>
  <si>
    <t>Matarrita-Cascante D.; Zunino H.; Sagner-Tapia J.</t>
  </si>
  <si>
    <t>Amenity/lifestyle migration in the Chilean Andes: Understanding the views of "the other" and its effects on integrated community development</t>
  </si>
  <si>
    <t>SUSTAINABILITY (SWITZERLAND)</t>
  </si>
  <si>
    <t>Alterity; Amenity migration; Community development; Lifestyle migration</t>
  </si>
  <si>
    <t>Within the context of domestic amenity/lifestyle migration, we are interested in understanding the way local rural residents and migrants: (1) view each other; and (2) how those views affect an integrated community development. Using alterity theory as a guiding framework, we engaged in a qualitative study to examine such views and their effects along the lines of three axes: an epistemological (what people know about the other), an axiological (how people value the other), and a praxeological (how people interact with the other) one in the Chilean community of Malalcahuello. Findings suggests that, overall, both types of residents know little of the other, have and constantly reproduce negative value judgments of the other, and relate only in mundane non-significant ways. We provide explanations of how these relate to the reported diminished community development efforts in town. © 2017 by the authors.</t>
  </si>
  <si>
    <t>10.3390/su9091619</t>
  </si>
  <si>
    <t>Mateo Pinones, Mariel; Valenzuela Carvallo, Eduardo</t>
  </si>
  <si>
    <t>Being Mapuche today in Chile: judgement criteria for ethnic identification among the new generation</t>
  </si>
  <si>
    <t>Ethnic identification; essentialism; constructivism; factorial survey method</t>
  </si>
  <si>
    <t>This study seeks to identify the underlying factors that sustain ethnic identification judgements - in this case regarding the Mapuche ethnic group - elaborated by a sample of Chilean young people who live in the Santiago metropolitan region. To this end a factorial survey method was used, incorporating quasi-experimental vignettes, which demonstrate social and individual determinants of human judgements. The results show that both self-identification as Mapuche and last name - particularly the paternal surname - are the criteria considered most relevant to inform judgements about ethnic identity. It is clear that there is a complex idea about what it means to be Mapuche today among young people in Chile, combining both subjective and objective factors. This conjunction shows the narrowness of the constructivist and essentialist proposals for understanding ethnicity.</t>
  </si>
  <si>
    <t>10.1080/1369183X.2016.1232159</t>
  </si>
  <si>
    <t>Matos, Alberto Del Jesus Rosario; Frei, Juan Pablo Beca</t>
  </si>
  <si>
    <t>RECOGNITION OF IMMIGRANTS' FREEDOM OF TRANSIT IN CHILEAN SUPERIOR COURTS OF JUSTICE. STUDIES ON SANCTIONS OF EXPULSION</t>
  </si>
  <si>
    <t>Migration; person; Freedom of Movement and Expulsion</t>
  </si>
  <si>
    <t>From a critical perspective of elements that integrate immigrants' legal status in Chile, we analyze its legal foundation from the configuration of the rights and freedoms generated by the freedom of transit contained in article 19 No 7 a), of the Constitution. A study of the doctrinal constructions and the guarantees of a constitutional nature to protect this freedom is carried, allowing a diagnosis of the main decisions of the superior courts of justice which have had a shaping view of the legal status of immigrants, in disagreement with the decisions of the Immigration and Foreign Affairs Department.</t>
  </si>
  <si>
    <t>10.7764/R.492.2</t>
  </si>
  <si>
    <t>Maturana-Miranda, Francisco; Rojas-Böttner, Andrés; Poblete-López, David</t>
  </si>
  <si>
    <t>Análisis y tendencias migratorias en la región del Biobío (Chile) entre 1982 y 2002. Aplicación desde el modelo gravitacional</t>
  </si>
  <si>
    <t>Economía, sociedad y territorio</t>
  </si>
  <si>
    <t>internal migration; Biobío región; gravity model</t>
  </si>
  <si>
    <t>Abstract: The process of internal migration is analyzed in the Biobío Region; this yields a process of spatial redistribution tending to the polarization of the space towards the regional capital “Concepción Metropolitano” and towards other adjacent municipalities. Similarly, it is observed a strong migratory attraction to the provincial capitals of Chillan and Los Angeles, but confined to their hinterland. Additionally, the profile of the migrant who moves from these cities to the regional capitals is characterized by a high level of education, while the migrants from neighboring municipalities to provincial capitals are mainly young people with low schooling levels.</t>
  </si>
  <si>
    <t>52</t>
  </si>
  <si>
    <t>Maturana, Francisco; Sepulveda, Ulises; Meneses, Christopher</t>
  </si>
  <si>
    <t>PATTERNS OF DISTRIBUTION AND CONCENTRATION OF EXTERNAL MIGRATION IN CHILE. EXPLORING LEVELS OF VULNERABILITY</t>
  </si>
  <si>
    <t>ESTUDIOS GEOGRAFICOS</t>
  </si>
  <si>
    <t>migration; distribution; cluster; Chile; Latin America</t>
  </si>
  <si>
    <t>Migrations have become highly relevant in the Chilean political, cultural and social discourse. This process is addressed in the country between 2012 and 2017 years, understanding the spatial structures, distribution, diversity and the conformation of geographic patterns whose link with rurality, income and economic activities is explored. This is done on two scales. At the regional level, the general patterns of the distribution of migratory origins are determined, and later complement by an analysis at the communal scale level in which 6 clusters are established. The results show new migratory origins that break with the trend of previous periods, the existence of patterns according to latitude and the variability of the places of origin of the immigrant population, as well as in the concentration values for these. The above are associated with levels of both poverty and segregation and particular areas of the economy sector such as agriculture.</t>
  </si>
  <si>
    <t>10.3989/estgeogr.2023132.132</t>
  </si>
  <si>
    <t>Matus L.R.T.</t>
  </si>
  <si>
    <t>Integration of migrants in chile. Multicultural assimilation and rhetoric; [La integración de los migrantes en chile. Asimilación y retórica multiculturalista]</t>
  </si>
  <si>
    <t>Chile; Immigration; Integration; Political elite</t>
  </si>
  <si>
    <t>In this article we explore the difficulties and misuse of the concept of integration of immigrant into the chilean society, analyzed in the realm of politics and public policy; whereas in the public rhetoric integration is defined using its multiculturalists version, politics defines as assimilation. Social sciences is aware of the difficulty of using this concept in the public policy arena, domestic politics and the new bills regarding immigration. The concept of integration also involves other social and cultural minorities, therefore, makes the use and misuse of the concept more complicated in the political arena. © 2019, El Colegio de la Frontiera Norte. All rights reserved.</t>
  </si>
  <si>
    <t>10.33679/rmi.v1i1.2068</t>
  </si>
  <si>
    <t>Maubert, Lucas; Pizarro, Elias</t>
  </si>
  <si>
    <t>Everyday life, mobilizations and citizens' peace. Social control measures in Tacna and Arica during the First World War (1914-1918)</t>
  </si>
  <si>
    <t>everyday life; social control; migration; First World War; Chile</t>
  </si>
  <si>
    <t>This paper analyzes the diverse impacts of the First World War on the daily life of the border cities of Tacna and Arica (Northern Chile). We argue that this conflict, despite its remoteness, resulted in the imposition of a series of social control measures in the region. These measures were guided by two objectives: the defense of Chilean neutrality and the preservation of social peace. The social control implemented by local and national authorities affected areas such as commercial activity, the migratory freedom of citizens and the ideological mobilization of society. The methodology is based on the analysis of a variety of historical sources, including local newspapers and documents from</t>
  </si>
  <si>
    <t>10.4013/hist.2022.263.11</t>
  </si>
  <si>
    <t>Mboup G.</t>
  </si>
  <si>
    <t>African Cities in Time and Space: Past, Emerging Trends and Perspectives</t>
  </si>
  <si>
    <t>Advances in 21st Century Human Settlements</t>
  </si>
  <si>
    <t>Africa; Cities; Colonization; Cultures; History; Mega cities; Migration; Religions; Rural; Urban spaces; Urban systems; Urbanization</t>
  </si>
  <si>
    <t>This chapter presents the historical place of the urban setting that has shaped various social, economic and political transformations in Africa. It presents several examples of African cities that existed in the pre-colonial period. It also shows how the African urban space remarkably changes during the colonial period both quantitatively and qualitatively. Some pre-colonial African cities were overtaken by colonial cities along with a significant change in terms of urban planning and provision of basic infrastructure. After independence of African countries, urbanization has accelerated with the apparition of large cities, but with the influence of the colonial urban planning. Today over half a billion of African population live in urban areas. This African urban population is projected to reach 1 billion in 2040 and 1.5 billion in 2050. © 2019, Springer Nature Singapore Pte Ltd.</t>
  </si>
  <si>
    <t>10.1007/978-981-13-3471-9_2</t>
  </si>
  <si>
    <t>Mcilwaine, Cathy; Ryburn, Megan</t>
  </si>
  <si>
    <t>Introduction: towards migration-violence creative pathways</t>
  </si>
  <si>
    <t>Arts-based approaches; migration; violence; creative pathways; participatory methods; embodiment</t>
  </si>
  <si>
    <t>This introduction to the special issue on 'Arts-based approaches, migration and violence: intersectional and creative perspectives' highlights the complexities and paradoxes in relation to existing debates in the field. Drawing on the emerging body of rich work that has recognised the importance of arts-based approaches within research on migration and violence, the introduction provides a critical assessment of the nature of the connections between the two in methodological, empirical and conceptual ways. It explores these intersections across multiple geographical scales, temporalities and imaginations through innovative creative research. In contributing to these debates, the introduction and the papers included in this special issue examine the potential for new insights, understanding and transformations to emerge through engaging with visual, performative, visceral, embodied and collaborative arts-based research. Yet, it also addresses some epistemological and ethical concerns including tensions around participation, positionality, co-production and the decolonisation of research. The introduction also aims to move beyond evaluating the benefits and drawbacks of arts-based approaches and provides a conceptual frame delineated as 'migration-violence creative pathways' that emphasise feminist and embodied perspectives. The frame does not prescribe how to engage with the creative arts, but rather encapsulates the variety of ways to do so. Finally, we set out an agenda for future creative research on migration-violence connections that highlights some practical, epistemological and conceptual suggestions for critically and productively engaging with arts-based approaches.</t>
  </si>
  <si>
    <t>10.1080/1369183X.2024.2345988</t>
  </si>
  <si>
    <t>McLaren F.; Mercado M.; Montalva N.; Watkins L.; Antipichun A.; Cheristil J.; Rocha-Jiménez T.</t>
  </si>
  <si>
    <t>Ethics in Mental Health Research with Haitian Migrants: Lessons from a Community-Based Study in Santiago, Chile</t>
  </si>
  <si>
    <t>Ethics and Human Research</t>
  </si>
  <si>
    <t>community-based research; ethics; Haitian migrant; human subjects research; mental health; migration; migration research</t>
  </si>
  <si>
    <t>Migration research poses several unique challenges and opportunities. Conducting ethical global health practice, especially when studying migrant mental health, is of particular concern. This article explores seven challenges and lessons learned in our mixed-methods study conducted to assess the impact of the migration experience on Haitian migrants’ mental health in Santiago, Chile. The primary challenges were recruiting in a highly mobile population, building trust and community participation, overcoming language barriers, safety considerations during the Covid-19 pandemic, mitigating potential negative impacts of research on the community, providing psychological support, and finding meaningful ways to benefit the community. We propose moving toward a better and more ethical migrant research practice by ensuring language accessibility, hiring community members for the study team, working with local institutions and nongovernmental organizations, and maintaining sustainable connections. © 2024 by The Hastings Center. All rights reserved.</t>
  </si>
  <si>
    <t>10.1002/eahr.500209</t>
  </si>
  <si>
    <t>McManus S.; Irazábal C.</t>
  </si>
  <si>
    <t>Migration and integration of middle-class Venezuelans in Costa Rica: Drivers, capitals, and livelihoods</t>
  </si>
  <si>
    <t>Wellbeing, Space and Society</t>
  </si>
  <si>
    <t>Capitals; Costa Rica; Drivers; Integration; Livelihoods; Migration; Venezuelans</t>
  </si>
  <si>
    <t>The current Venezuelan crisis has spurred one of the largest mass migrations in Latin American history, with estimates of more than 7 million migrants leaving Venezuela (UNHCR, 2023). Most Venezuelans leaving the country are economically disenfranchised migrants fleeing to neighboring countries with limited economic resources. However, there are upper- and middle-class well-educated Venezuelans migrating to other parts of Latin America whose socio-economic status allows for a different migration experience. This paper draws on qualitative research conducted in 2020–2022 which investigated the dynamics of the upper- and middle-class Venezuelan diaspora settled in the suburbs of San José, Costa Rica. Specifically, the research focused on the migration and integration experiences of Venezuelans in Escazú and Santa Ana, modern, upscale suburbs, due to their rapid increase of Venezuelan population. This paper draws on 14 semi-structured interviews in an effort to contribute to the theoretical understanding of the migration and integration process and answer the questions: (1) What are the factors influencing migrants’ decisions to migrate; (2) what capitals do migrants have and how do they mobilize them; and (3) what do the personal accounts of migration decisions and experiences reveal about the overall well-being of migrants? We build on the Push/Pull Plus Migration Drivers (Van Hear et al., 2018) and the Sustainable Livelihoods Framework (Sen, 1981; Chambers, 1983) as analytical frameworks. Findings suggest that our composite framework provides a useful lens through which to understand the decision to migrate for upper and middle class Venezuelan migrants to Costa Rica, and sheds light on the initial stages of their integration process. The addition of cultural and political capitals as assets relevant for understanding migration livelihoods is critical in migratory contexts and shed light on the ways in which migrants navigate the formal and informal integration process. More research is needed on the roles well-being and trauma play in all phases of the migration and integration processes. © 2023</t>
  </si>
  <si>
    <t>10.1016/j.wss.2023.100151</t>
  </si>
  <si>
    <t>McNeece C.A.; Falconer M.K.; Springer D.</t>
  </si>
  <si>
    <t>Immigration: Impact of immigration on health and human services: Florida’s experience</t>
  </si>
  <si>
    <t>Social Work Health and Mental Health: Practice, Research and Programs</t>
  </si>
  <si>
    <t>Florida; Migration; Services</t>
  </si>
  <si>
    <t>Florida has been the destination for large numbers of immigrants fleeing political persecution or economic hardships. Cubans and Haitians have been two of the largest immigrant groups arriving and settling in Florida. Both have received national and local attention. This article describes the immigration experience of Haitians and Cubans in Florida. The descriptions emphasize the differences between these two groups in their adjustment to life in south Florida. The article also addresses Florida’s reaction to federal policies regarding immigration and highlights Florida’s struggle to meet the service needs of these immigrant populations. Fiscal impacts of immigration are quantified in several service categories, including education, social services, health care, and criminal justice. Florida’s action based on the documentation of the immigration fiscal impact is explained. Finally, how the state allocated the $18 million in federal funding provided as a response to Florida’s documented impact is covered. [Article copies available for a fee from The Haworth Document Delivery Service: 1-800-342-9678. E-mail address: &lt;getinfo@haworthpressinc.com&gt; Website: &lt;http://www.HaworthPress.com&gt; © 2002 by The Haworth Press, Inc. All rights reserved.]. © 2002 by The Haworth Press, Inc. All rights reserved.</t>
  </si>
  <si>
    <t>McWhirter E.H.; McWhirter B.T.</t>
  </si>
  <si>
    <t>Critical Perspectives on Adolescent Vocational Guidance in Chile</t>
  </si>
  <si>
    <t>Journal of Career Development</t>
  </si>
  <si>
    <t>adolescents; Chile; critical psychology; vocational guidance</t>
  </si>
  <si>
    <t>In this article, the lens of critical psychology is applied to adolescent career development and vocational guidance in Chile. The authors describe and critique the status of adolescent vocational guidance in Chile, the reproduction of extant social inequities in Chilean education, and offer recommendations for enhancing vocational guidance practice, training, and research. The authors' recommendations may be applicable to other contexts in which social disparities limit the vocational potential of significant groups in society. © Curators of the University of Missouri 2012.</t>
  </si>
  <si>
    <t>10.1177/0894845311400910</t>
  </si>
  <si>
    <t>Medina, Ana; Cano-Ciborro, Victor</t>
  </si>
  <si>
    <t>Three moments of migration as an urban generator: Solanda - Quito case[1]</t>
  </si>
  <si>
    <t>informal sector; housing needs; urban development; migration; everyday life</t>
  </si>
  <si>
    <t>This paper investigates the spatial impact of migration on city planning in Solanda, a southern neighborhood of Quito, Ecuador. Despite being considered a 'controversial' region in terms of resistance, radicalism, dissident behavior, and informal and unanticipated local initiatives, Solanda has become a vibrant area with a sense of collaborative activity and togetherness. This study examines the ways in which residents have negotiated space over the course of time, highlighting three significant historical periods of migration: rural migration in the 1970s and 1980s, economic bankruptcy in the late 1990s and early 2000s, and regional catastrophe in 2015 and beyond. To understand tactics, occupancies, resistances, negotiations, and transformations that have occurred in Solanda, this paper focuses on the commercial street of 'La Jota', using cartographies as an alternative tool to represent invisible spatial relationships.The key findings of this research include: the reshaping of livable territory through negotiated spaces; the use of cartography as an effective operative tool to represent spatial processes, from single houses to the urban configuration of Solanda; and the relationship between everyday activities and collective resistance within migration.</t>
  </si>
  <si>
    <t>10.15446/bitacora.v33n2.106777</t>
  </si>
  <si>
    <t>Médor P.R.; Doña A.M.; García E.R.</t>
  </si>
  <si>
    <t>Migration, Culture and Physical Education: voices of fathers and mothers; [Migración, Cultura y Educación Física: las voces de padres y madres]</t>
  </si>
  <si>
    <t>culture; education system; human rights; inclusion; interculturality; migration; multiculturalism; physical education</t>
  </si>
  <si>
    <t>In the first decades of the 21st century we are witnessing an unprecedented wave of migration. Chile does not escape this new reality and its educational system must undertake a profound change to respond to it. Therefore, the decisions of educational managers regarding newly arrived migrant students to the classroom should not and cannot be imposed without considering the opinions of those migrants. The aim of this study is to analyze the perceptions of parents in the inclusion of their children from Physical Education (PE). Methodologically it is a qualitative study that follows the bases of the phenomenological approach. The 15 semi-structured in-depth interviews were applied to 19 parents from 14 schools in Valdivia city, Chile, coming from 10 different countries. The NVivo Software was used in the data analysis process, by taking into consideration the content analysis and words' frequency as the main analysis tools. The results show fundamental aspects to consider between country of origin and the host country for the inclusion of migrant students from the contributions of parents to the school. At last, the migrant proxies consider it as a priority that all action aimed at inclusion is based on strict respect of human rights, regardless of origin, skin color, ethnic group, creed, social and cultural condition, for all migrant and non-migrant children. © Federación Española de Asociaciones de Docentes de Educación Física (FEADEF)</t>
  </si>
  <si>
    <t>10.47197/retos.v45i0.90850</t>
  </si>
  <si>
    <t>Mejía M.R.G.; Scapin M.</t>
  </si>
  <si>
    <t>Mobilities and Immobilities Linked to Gender Relations in Marriages of Haitian Migrants; [Mobilidades e imobilidades articuladas às relações de gênero no casamento de migrantes haitianos]</t>
  </si>
  <si>
    <t>Cadernos Pagu</t>
  </si>
  <si>
    <t>Gender; Immobility; Marriage; Migration; Mobility</t>
  </si>
  <si>
    <t>This article presents the results of a study that analyzed mobilities and immobilities inherent to Haitian migration to Brazil, observed in marriages between Haitians in Lajeado, in the interior of Rio Grande do Sul state. It reveals how various movements in the configuration of these marriages are linked to gender relations, grounded in religious identities. The empirical data were collected in ethnographic research conducted in Lajeado since 2013. The article considers political and religious dimensions of the mobilities and marriage. © 2023, Universidade Estadual de Campinas UNICAMP. All rights reserved.</t>
  </si>
  <si>
    <t>10.1590/18094449202300670019</t>
  </si>
  <si>
    <t>Mejia, Marisol Raigosa; Leal, Alejandra Isabella Dishington</t>
  </si>
  <si>
    <t>A comprehensive look at the management of return migration in Colombia from a transnational perspective</t>
  </si>
  <si>
    <t>CIUDAD PAZ-ANDO</t>
  </si>
  <si>
    <t>Return migration; transnational perspective of migrations; migration management; migration policies; emigrant recovery programs</t>
  </si>
  <si>
    <t>This article's objectives are: First, to identify the policy , care programs orientation promoted by the Colombian State in return migration matter, in order to establish who are their target. Second, to present a critical approach to the basic orientation-economist and instrumental-of this measures, according to the return migration transnational perspective, which proposes to recognize that some migrants and their descendants are influenced by continuous links with their origin countries or by social networks that cross national borders. The information collec-tion had a qualitative approach, such as documentary review and semi-structured interviews. From there it was concluded that it is necessary to continue working, from the academy and political scenarios, in the compilation of a law that unify disseminated decrees , that assume from a structural institutional perspective, the approach to the phenomenon and its treatment.</t>
  </si>
  <si>
    <t>10.14483/2422278X.19060</t>
  </si>
  <si>
    <t>Mela-Contreras, Jose; Torelló, Josep; Cobos, Daniela</t>
  </si>
  <si>
    <t>Cine, diversidad e infancia: el proyecto Cineduka en escuelas básicas chilenas</t>
  </si>
  <si>
    <t>Anagramas -Rumbos y sentidos de la comunicación-</t>
  </si>
  <si>
    <t>cinema; filming; cultural diversity; intercultural education; educational innovation; basic education; childhood</t>
  </si>
  <si>
    <t>Abstract The project “Cineduka: diversity and childhood” was implemented in five public schools in the O’Higgins regions in Chile as an initiative of qualitative character that had as its purpose contributing to the dialogue and reflection between teachers and students in the 7th grade of elementary school regarding topics such as respect and value of the ethnic and cultural diversity. For that reason. An educational and intercultural intervention program was executed with the teaching staff of these institutions with the objective of envisioning and establishing a dialogue on cinema and interculturality in the classroom. The execution of Cineduka incorporated several activities of analysis of movies, beside pedagogic and creative activities for representing the students’ learnings through the creation of student’s cinema shorts. Thus, the project aimed towards sensitizing and promoting learning of intercultural nature such as empathy towards difference, respect and no-discrimination among peers, as well as the questioning of the reproductions of negative stereotypes linked to migration. Among the results of the project, the following is highlighted: fourteen cinema shorts made by the students, which are productions that display the interests, reflections, and problems of the students regarding diversity. For this, this article contains a document and narrative analysis of the film language and the meanings that are evoked by film creations, linked to a deep reflection on the importance of promoting a non-discriminatory and dialogued teaching.</t>
  </si>
  <si>
    <t>41</t>
  </si>
  <si>
    <t>10.22395/angr.v21n41a6</t>
  </si>
  <si>
    <t>Melisa R.P.; Valderrama C.G.</t>
  </si>
  <si>
    <t>Facilitators and barriers for the educational inclusion of migrant children in Chile; [Aperturas y cierres para la inclusión educativa de niños/as migrantes en Chile]</t>
  </si>
  <si>
    <t>Access; Discrimination; Migration; Right to education; Schooling</t>
  </si>
  <si>
    <t>The increase in the foreign population demanding education services in Chile has made it necessary to address political issues to enable their access to the educational system; however, schools have also had to develop strategies to attain inclusion. The aim of the research behind this article was to discover, through a qualitative methodology, the trajectory towards the educational inclusion of migrant boys and girls that took place in four elementary and one high school in the city of Santiago, identifying the factors that favor and hinder this process, including their access to the educational system and the relations that are established within schools. Some of the main discoveries of this research include problems related to the condition of irregular migration -which affects access to the benefits of the educational system- and also tensions in the relations between Chilean and foreign students, which can lead to situations of bullying. © 2017 Universidad Austral de Chile.</t>
  </si>
  <si>
    <t>10.4067/S0718-07052017000300014</t>
  </si>
  <si>
    <t>Melo S.M.C.; Muñoz M.J.S.; Díaz C.E.R.</t>
  </si>
  <si>
    <t>Identity reconfigurations in the migratory process of the Venezuelan population in Lima; [Reconfigurações identitárias no processo migratório da população venezuelana em Lima]; [Reconfiguraciones identitarias en el proceso migratorio de la población venezolana en Lima]</t>
  </si>
  <si>
    <t>identidad; identidade; identity; migración; migration; migração; mobilidade; movilidad; narrativity; recognition; reconhecimento e narratividade; reconocimiento y narratividad</t>
  </si>
  <si>
    <t>Peru is the second receiving country for the Venezuelan population in the region and is home to approximately 1 500 000 Venezuelans (ACNUR, 2023). This process has presented challenges in relation to the adaptation process, both for migrants and host communities. Due to the above, this article is oriented to understand the migratory phenomenon from the relational dynamics, delving into the interactions between migrants and Peruvians. For this, it is analyzed how in this new framework (migratory) the subjects reconfigure their identity by assuming a different social position based on their subjectivities and the meanings they build around the other. The phenomenological method was used as a guide to investigate the perceptions, fears and feelings around the migration process. Through in-depth interviews and surveys, the relational dispositions built in the context of migration and throughout the life trajectories of the subjects were tracked.In addition, the transformations-reconfigurations in identities were analyzed, especially in migrants. © (2024), (Universidad Nacional de Colombia). All Rights Reserved.</t>
  </si>
  <si>
    <t>10.15446/rcs.v47n1/101374</t>
  </si>
  <si>
    <t>Mena-Campana, Jackeline</t>
  </si>
  <si>
    <t>INTERNATIONAL FORCED MIGRATION AND DIASPORA: A THEORETICAL READING TO THE AFROCOLOMBIAN FAMILIES OF BUENAVENTURA IN ANTOFAGASTA (CHILE) FROM COLONIALITY</t>
  </si>
  <si>
    <t>REVISTA LATINOAMERICANA DE ESTUDIOS DE FAMILIA</t>
  </si>
  <si>
    <t>afro-colombian families; forced international migration; diaspora; cultural studies; race</t>
  </si>
  <si>
    <t>Objective. To present a reflection on the concepts of forced international migration, the diaspora, and to unveil the lack of race as a factor that affects the theoretical readings and constructions when describing the mobility that occurs in Afrodescendant families of Buenaventura in Antofagasta. Methodology. The methodological foundation corresponds to the descriptive qualitative analysis of migratory theories and is based on the decolonial perspective. Results and conclusion. There is a need to think about migrations and their relationship with racialized diversities, identifying the exclusion of race in their approaches, an aspect that affects the way in which migrant inclusion and socialization processes are interpreted, narrated or described, and in turn, changes and/or permanence that occur in the origin family relationships. Likewise, the omission of race, family and its little problematization in migrations is identified.</t>
  </si>
  <si>
    <t>10.17151/rlef.2019.11.2.6</t>
  </si>
  <si>
    <t>Mendez Caro, Leyla</t>
  </si>
  <si>
    <t>Campamentos in the eye of the storm. Between stigmatization and other habit-abilities</t>
  </si>
  <si>
    <t>squatted lands; migration; decolonisation</t>
  </si>
  <si>
    <t>The objective of this study is to investigate the processes of stigmatisation and otherness in squatter camps in Antofagasta, Chile, along with various differential dynamics. These processes position these spaces as receptors of South American migrant populations. The authors present various narratives (spatial body) of South American migrant women from the Los Arenales squatter camp. The stories suggest spatial segregation and stigmatisation processes based on the racialisation of human bodies and spaces within the camp. This can produce dangerous discourses or multicultural instrumentalisation which can legitimise more control over these spaces. In spite of this scenario, the squatter camps can also be a place of resistance to multiple processes of displacement and oppression, particularly as experienced by women, who at the same time, reenergise forms of solidarity of existence, dismantling colonial and gender mandates.</t>
  </si>
  <si>
    <t>Méndez-Fierros, Hugo; Astudillo, Rodolfo Hlousek</t>
  </si>
  <si>
    <t>Representaciones sociales de racismo y exclusión social. Migraciones haitianas contemporáneas en América Latina</t>
  </si>
  <si>
    <t>Social representations; Haitian migrations; racism; social exclusion; Latin America</t>
  </si>
  <si>
    <t>Abstract The objective is to document and interpret the representations about racism and social exclusion that Haitian people in a condition of transnational migration have built, from experiences during integration processes in host cities in Chile and Mexico. Based on theoretical references on social representations and a conceptual fabric between racism, social exclusion and job insecurity, a content analysis is carried out with a narrative approach focused on the discourse of the interviewees. The results show representations that project daily lives symbolically violated by practices generated in the receiving societies, marked by racism, social exclusion and employability in precarious situations. These tensions are linked to an irregular migratory condition, they are recurrent although not generalized. They reflect, to different degrees and different nuances, a structural condition that operates at the macro and micro social levels in both Chile and Mexico.</t>
  </si>
  <si>
    <t>10.1590/1980-85852503880006710</t>
  </si>
  <si>
    <t>Mera G.; Marcos M.</t>
  </si>
  <si>
    <t>Migration and Housing in Buenos Aires: Intensity, Calendar and Generation as Keys to Understand Access to Property; [Imigração e habitação em Buenos Aires: intensidade, calendário e geração como chaves para entender o acesso à propriedade]; [Migración y vivienda en Buenos Aires: intensidad, calendario y generación como claves para entender el acceso a la propiedad]</t>
  </si>
  <si>
    <t>Territorios</t>
  </si>
  <si>
    <t>access to land; census data; homeownership; migration; Residential demography; socio-urban inequalities</t>
  </si>
  <si>
    <t>The aim of this paper is to study the differences in homeownership of international migrants in Buenos Aires, from a demographic perspective still little applied to the subject in Latin America, which explores the intensity and calendar of the phenomenon in specific generations, groups and territories. Birth cohorts of different national groups were reconstructed based on variables such as age and place of birth from the Argentine population censuses from 1970 to 2010. As a main result, it was found that the older the population, the more widespread is homeownership, but access to land has become more restrictive. This has affected recent generations in general, including the Argentine population, but especially migrants from neighboring countries of lower social sectors and in the most disputed territories of the city. © 2023, the Authors.</t>
  </si>
  <si>
    <t>10.12804/revistas.urosario.edu.co/territorios/a.12308</t>
  </si>
  <si>
    <t>Mera Lemp M.J.; Martínez de Taboada Kutz C.; Costalat-Founeau A.M.</t>
  </si>
  <si>
    <t>Identity Dynamics in psychosocial transition Processes: Adolescence and migration. a case Study; [Dinámicas identitarias en procesos de transiciónpsicosocial: Adolescencia y migración. estudio de caso]</t>
  </si>
  <si>
    <t>Adolescence; Identity; Intergroup relations; Migration; Social representations</t>
  </si>
  <si>
    <t>This article examines the process of the construction of psychosocial identity during adolescence and in the context of migration, from the perspective of Ego-ecology. It studies the case of a young, Latin American, first- generation immigrant woman in Spain in the Autonomous Community of the Basque country. Qualitative imis methodology is used. The results show that during the transition to adulthood, migration is an element that entails significant identity tensions, particularly when it is associated with belonging to a social group that lacks legitimacy, recognition and power in the reception context. The perception of intergroup relations in constant conflict creates serious difficulties in achieving a constructive life project and a successful positive identity.</t>
  </si>
  <si>
    <t>Mera-Lemp, Maria Jose; Bilbao, Marian; Basabe, Nekane</t>
  </si>
  <si>
    <t>School Satisfaction in Immigrant and Chilean Students: The Role of Prejudice and Cultural Self-Efficacy</t>
  </si>
  <si>
    <t>immigrant adolescents; prejudice; cultural self-efficacy; satisfaction with school; intergroup relations</t>
  </si>
  <si>
    <t>Latin-American immigration has transformed Chilean schools into new multicultural scenarios. Studies about intergroup dynamics among students from different cultural backgrounds and their psychological consequences are still limited in south-south migration contexts. Literature has suggested that intergroup relations influence students' satisfaction with school, and they could be improved by the development of competences to cope with cultural differences. This study aims to verify if cultural self-efficacy and its dimensions mediated the influence of prejudice on satisfaction with school, in a sample composed by N = 690 Chilean and Latin-American immigrant secondary students. Results showed that cultural self-efficacy reduced the effect of prejudice in satisfaction with school, in the cases of both immigrant and Chilean students. The dimensions of cultural self-efficacy in processing information from other cultures and mixing with different others make the difference. Findings' contributions for the understanding of adolescents' intergroup relations and psychosocial interventions at school are discussed.</t>
  </si>
  <si>
    <t>10.3389/fpsyg.2020.613585</t>
  </si>
  <si>
    <t>Mera-Lemp, María José; Martínez-Zelaya, Gonzalo; Orellana, Aracely; Smith-Castro, Vanessa</t>
  </si>
  <si>
    <t>Acculturation orientations, acculturative stress and psychological well-being on Latin American immigrants settled in Santiago, Chile</t>
  </si>
  <si>
    <t>Acta Colombiana de Psicología</t>
  </si>
  <si>
    <t>acculturation; migration; acculturative stress; psychological well-being</t>
  </si>
  <si>
    <t>Abstract In Chile, the significant increase of migratory flows from Latin America has drawn attention to the psychological and socio-cultural adjustment processes of new immigrants. This paper seeks to (i) establish relationships between acculturation orientations, acculturative stress and psychological well-being, (ii) identify profiles according to acculturation preferences, and (iii) determine the existence of significant differences in stress and well-being between these profiles. This correlational study was conducted with a sample of (N=194) Latin American immigrants with ages between 18 and 67 years (M=34.77; DE=10.181), where acculturation orientations, acculturation stress and psychological well-being were evaluated. Results indicate that the predominance of integration is more salutogenic than the tendency to cultural separation as a preeminent orientation, facilitating a better coping with the stressors of the migratory process. Three acculturative profiles were found: moderate individualist, integrationist and separatist. The comparison between profiles shows that when integration is predominant, well-being is greater than in the presence of individualism as the principal orientation. This study provides evidence regarding individualism as an acculturation orientation scarcely considered in the literature, whose possible negative influence can be related to group membership as a way to access resources that collaborate with adaptation to the new context.</t>
  </si>
  <si>
    <t>10.14718/acp.2020.23.1.11</t>
  </si>
  <si>
    <t>Mercado Órdenes, Mercedes; Figueiredo, Ana</t>
  </si>
  <si>
    <t>Construcciones identitarias de inmigrantes haitianos en Santiago de Chile desde una perspectiva interseccional</t>
  </si>
  <si>
    <t>Abstract The work presented focuses on the identity constructions of Haitian immigrants in Chile. We conducted a qualitative study based on in-depth semi-structured interviews that includes analyzing thematic and intersectional content to understand the identity constructions of the participants in their migratory trajectories from Haiti to Chile. We present results associated with work and social experiences of the participants, along with sex-gender and ethnic-racial orders, incorporating emergent differences axes, such as religion, nationality, social class, and immigrant status. We found that the articulation of dimensions of oppression in Chile configures an identity of worker- migrant-Haitian positioned as radical otherness, and incipient changes in sex-gender identities are reported, emerging from subalternate social positions and as adaptation strategies in an adverse context.</t>
  </si>
  <si>
    <t>10.33679/rmi.v1i1.2495</t>
  </si>
  <si>
    <t>Mercado-Órdenes, Mercedes; Figueiredo, Ana</t>
  </si>
  <si>
    <t>Racismo y Resistencias en Migrantes Haitianos en Santiago de Chile desde una Perspectiva Interseccional</t>
  </si>
  <si>
    <t>Psykhe (Santiago)</t>
  </si>
  <si>
    <t>Haitian migration; intersectionality; racism; racialization; resistances</t>
  </si>
  <si>
    <t>Abstract: The main aim of this work is to understand the experiences of racism among the Haitian migrant community in Chile, from an intersectional perspective. We focus on their oppressive experiences, as well as their resistance to these experiences. We carried out a qualitative study with 16 Haitian people (10 men and 6 women), between 21 and 44 years old, living in Santiago de Chile, with whom we conducted a total of 29 semi-structured in-depth interviews. We carried out a thematic content analysis from an intersectional perspective. Our results show that our participants have experienced structural racism, overt prejudice and internalized racism. Skin colour appears as the most important racial marker, and is articulated with their nationalities, migrant status and/or sex-gender. Also, we account for the phenomenon of sexualized racialization towards Haitian men. Finally, we describe resistances, some of which show a knowledge about the positive socio-historical positions of Haitian individuals. Thus, we investigate resistant and incipient social identities configured around skin colour and Haitian nationality. As suggestions for future research, we believe it is relevant to extend the study of racism in Chile from the field of international migration, taking into account the racialized structures within which racism is exercised towards migrants, as well as towards indigenous people, Afro-Chileans or dark-skinned mestizo Chileans. With this work, we seek to highlight the presence and consequences of racism in Chile and promote the integral integration of the Haitian community.</t>
  </si>
  <si>
    <t>10.7764/psykhe.2021.28333</t>
  </si>
  <si>
    <t>Merino M.-E.; Tileagǎ C.</t>
  </si>
  <si>
    <t>The construction of ethnic minority identity: A discursive psychological approach to ethnic self-definition in action</t>
  </si>
  <si>
    <t>Discourse and Society</t>
  </si>
  <si>
    <t>Chile; discursive psychology; ethnic minority; ethnic self-definition; Mapuche; social identities</t>
  </si>
  <si>
    <t>The present article intends to examine how ethnic minority group members account for their ethnic identity as part of a series of interviews with young Mapuches on what it means to be Mapuche in contemporary Chilean society. The focus is on the actual accomplishment and display of ethnic self-definition and group identification. We draw on insights from discursive psychology to explore some features of common-sense practical reasoning that ethnic minority group members use to negotiate, self-ascribe or resist a particular sense of identity, and to produce observable and reportable identities. We have a particular interest in illustrating how ethnic self-definition can be seen as the contingent outcome of a practical and interpretive issue for members of society, with a special focus on how ethnic minority identity is constructed through the flexible use of group-defining attributes and characteristics, categories and common-sense categorial knowledge. We suggest that understanding the complex significance and meaning of ethnic self-definition for minority group members is dependent on engaging closely with its occasioned context of production and treating social identities as a feature of how people describe themselves. It is argued that this view of ethnic minority self-definition as a practical and interpretive issue and as a discursive product in action can provide a further contribution to literature of both discursive and intercultural studies of ethnic identification of minority groups, intercultural and interethnic relations. © The Author(s) 2011.</t>
  </si>
  <si>
    <t>10.1177/0957926510382834</t>
  </si>
  <si>
    <t>Merino M.-E.; Webb A.; Radcliffe S.; Becerra S.; Gloria Aillañir C.</t>
  </si>
  <si>
    <t>Laying claims on the city: young Mapuche ethnic identity and the use of urban space in Santiago, Chile</t>
  </si>
  <si>
    <t>Latin American and Caribbean Ethnic Studies</t>
  </si>
  <si>
    <t>Chile; Indigenous youth; place attachment; place identity; situational ethnicity</t>
  </si>
  <si>
    <t>This article explores indigenous young people’s use of different types of space within Santiago’s unequally distributed opportunity structure to express cultural belonging and sense of place. Drawing on qualitative work informed by environmental psychology and critical geography, the article discusses how young Mapuche residents in Santiago elaborate practices and relations with their neighborhood, public areas and institutional space to establish ethnic identity. Although existing literature has demonstrated that non-essentialized indigenous identities and connections to land-territory are prevalent in urban spaces, attention has not been given to how these senses of belonging are situationally defined and negotiated across the city. We argue that place attachment and place identity are developed differentially and ambivalently within these contexts. That is, Mapuche indigenous youth and their households must navigate tensions between state-led action and personal agency, between politicized and quotidian identities, between “there” and “here,” and between past and present, so as to produce meaningful connections, activities, and affective relations according to distinct spatial dynamics and power relations. © 2019, © 2019 The Author(s). Published by Informa UK Limited, trading as Taylor &amp; Francis Group.</t>
  </si>
  <si>
    <t>10.1080/17442222.2020.1698179</t>
  </si>
  <si>
    <t>Merino Orozco A.; Calvo Ruiz M.; Di Giusto Valle C.; Pérez de Albéniz Garrote G.; Medina Gómez B.; Gutiérrez García A.; Saez Velasco S.; Guijo Blanco V.</t>
  </si>
  <si>
    <t>Accompaniment in the Gender and Social Discrimination of Migrant Women Victims of Gender-Based Violence: From Bibliography to Situated Key in Burgos, Spain</t>
  </si>
  <si>
    <t>accompaniment; gender discrimination; gender violence; migration</t>
  </si>
  <si>
    <t>Migrant women who experience gender-based violence face a framework of social vulnerability that is compounded by their status as both women and migrants, requiring specific attention in social support. The aim of this study is to understand the situation of women in the social and health access realm, drawing from scientific literature as well as the voices of migrant women and professionals who support them, in order to establish priority guidelines for social support. The study begins with a bibliographic analysis of scientific literature on migrant women who have experienced gender-based violence, which informs six interviews with migrant women and five professionals, delving into their social needs and support requirements. The most prominent results point to the need for sustained and interdisciplinary support throughout the process of accessing healthcare and legal services. In addition, there is a call for social awareness in understanding the specific and personal needs of migrant women. Finally, educational support is required to dismantle patriarchal beliefs that legitimize gender discrimination and violence, avoiding re-victimization and acknowledging the multi-dimensional nature of women’s experiences. © 2023 by the authors.</t>
  </si>
  <si>
    <t>10.3390/socsci12060325</t>
  </si>
  <si>
    <t>Merino, Maria Emilia Tijoux; Cortes, Constanza Ambiado; Luarte, Victor Veloso</t>
  </si>
  <si>
    <t>Understanding, trust and ethics in interviewing migrants</t>
  </si>
  <si>
    <t>EMPIRIA</t>
  </si>
  <si>
    <t>Migrations; ethics; comprehension; informed consent; interview</t>
  </si>
  <si>
    <t>Qualitative social research on the lives of migrants in Chile involves investigating the social suffering that arises from the migratory condition that is produced. The progressive recrudescence of migration policies both at national and international level since the end of the 20th century has further deepened the effects of the COVID 19 pandemic, generating a complex scenario for research in this area for two reasons: the online modality assumed by the interviewing exercise, and the increase of frictions in the relationship between Chileans and migrants. In this text we ask ourselves how to investigate someone who suffers, for which we stop, on the one hand, in the interview as an exercise that should be vigilant of the structural conditions in which it occurs and that can produce symbolic violence, while it should tend to the understanding of the social from the singularity of a life that the interview attends. This implies considering that the ethics of research runs through the very exercise of, in this case, the interview, so that it is not an external constraint to the method, but an integral part of its deployment. Informed consents play a fundamental role in the achievement of the above, however, they often turn out to be standardized protocols that fail to protect or inform the participating subjects, given their technical language and the little reflection on the social relationship they establish, with the result that Informed Consent ends up being installed in the distance between the researcher and the research participant. This is why it is necessary to stop and consider what is understood by ethics, in order to make the interview a fair institution that is built on the recognition of the other as part of the research exercise. Thus, ethics in qualitative social research must be recognized as both situated and, therefore,as reflexive and non-standardized. Thus, we conclude by arguing that in qualitative social research, understanding and ethics are imbricated in a single exercise.</t>
  </si>
  <si>
    <t>Messineo F.</t>
  </si>
  <si>
    <t>THE 18-O CHILEAN UPRISING AND THE MAKING OF TRANSNATIONAL POLITICAL IDENTITIES</t>
  </si>
  <si>
    <t>Partecipazione e Conflitto</t>
  </si>
  <si>
    <t>Chile; Diffusion; Engaged Research; October 2019 Uprising; Social Movements; Transnationalism</t>
  </si>
  <si>
    <t>This work focuses on the Chilean uprising of October 2019, and briefly characterizes its events. However, the core interest is to observe and question the international impact and everyday transnational features of this movement. Drawing on G. Schiller’s thoughts and combining them with transnational social movements’ scholarship, the analysis develops around two key axes. On the one hand, it charts mainly indirect diffusion through the spread of ideas and practices that travelled from Chile (and from Latin America) and grew to become embedded in social movements worldwide. On the other hand, it offers an ethnographic account of the transnational networks that have mobilized in support of this struggle in Italy, with particular attention paid to Chileans abroad. In this way, our work highlights the parallel movement from everyday transnational experiences to the formation of transnational political identities, and from shared political identities to transnational daily interactions. By exploring the interplay between different diffusion mechanisms, this case study contributes to the discussion of the role of political agency in shaping diffusion dynamics, and offers new insights into the construction of transnational collective identities. © 2022 University of Salento, SIBA. All Rights Reserved.</t>
  </si>
  <si>
    <t>10.1285/i20356609v15i1p223</t>
  </si>
  <si>
    <t>Michel J.; Miller M.K.; Peters M.E.</t>
  </si>
  <si>
    <t>How Authoritarian Governments Decide Who Emigrates: Evidence from East Germany</t>
  </si>
  <si>
    <t>International Organization</t>
  </si>
  <si>
    <t>autocracy; diaspora; East Germany; emigration; Migration</t>
  </si>
  <si>
    <t>Most autocracies restrict emigration yet still allow some citizens to exit. How do these regimes decide who can leave? We argue that many autocracies strategically target anti-regime actors for emigration, thereby crafting a more loyal population without the drawbacks of persistent co-optation or repression. However, this generates problematic incentives for citizens to join opposition activity to secure exit. In response, autocracies simultaneously punish dissidents for attempting to emigrate, screening out all but the most determined opponents. To test our theory, we examine an original data set coded from over 20,000 pages of declassified emigration applications from East Germany's state archives. In the first individual-level test of an autocracy's emigration decisions, we find that active opposition promoted emigration approval but also punishment for applying. Pensioners were also more likely to secure exit, and professionals were less likely. Our results shed light on global migration's political sources and an overlooked strategy of autocratic resilience.  Copyright © The Author(s), 2023. Published by Cambridge University Press on behalf of The IO Foundation.</t>
  </si>
  <si>
    <t>10.1017/S0020818323000127</t>
  </si>
  <si>
    <t>Micheletti, Stefano</t>
  </si>
  <si>
    <t>FROMTHE DREAM OF OWN LANDTO PROLETARIANIZATION:THE ITALIANAGRICULTURAL COLONY OF SAN MANUEL DE PARRAL (1950-1960)</t>
  </si>
  <si>
    <t>Italian immigration; Agricultural colonization; Assisted migration; CITAL</t>
  </si>
  <si>
    <t>This paper addresses the farming settlement process carried out in Chile during the twentieth century, focusing on the Italian settlement of San Manuel de Parral, Maule. The purpose is to comprehend the experience and the impact of this event in the life of those Italian settlers who leave their country behind in the early 1950s, in the aftermath of the World War II, aimed to better life prospects in South America. To accomplish this task I analised the minutes and proceedings of the Compania Chileno-Italiana de Colonizacion (CITAL, in Spanish) -the firm which run this enterprise-, and interviews to former settlers carried out in 1992. The data shows the technical failure of this endeavour, and the subsequent hardships endured by Italian families before they could settled in other cities and towns along the Chilean Zona Central, likewise how difficult was for them to find a job. Lastly, I address the complex cultural adaptation process and the eventual repatriation of the settlers along the 1970s. My conclusion states that the way this endeavour was conceived and implemented led to the proletarianisation of these migrant families, dooming them to estrangement and economic failure.</t>
  </si>
  <si>
    <t>La migración asistida de italianos hacia Chile: una lectura desde las teorías migratorias</t>
  </si>
  <si>
    <t>Abstract The present article addresses the process of assisted migration for agricultural purposes from Italy to Chile after World War II. Through the reconstruction of the history of three colonies (located in La Serena, Coquimbo, and Parral) and the analysis of a set of interviews conducted with settlers, it proposes an examination based on migration theories, identifying the “macro”factors that shaped these experiences of human mobility, as well as the “micro” elements that played a role in individual migration decisions. It is concluded that structural factors such as poverty, unemployment, and limited access to land were fundamental in generating the political will to implement assisted migration. Additionally, individual and family motivations were driven not only by economic reasons, but also by the desire to improve the overall quality of life.</t>
  </si>
  <si>
    <t>10.33679/rmi.v1i1.2615</t>
  </si>
  <si>
    <t>Micheletti, Stefano; Cubillos Almendra, Javiera; Gonzalez Pavicich, Consuelo; Valdes De La Fuente, Eduardo</t>
  </si>
  <si>
    <t>Migrant labour insertion in agrarian territories: the case of the el Maule region, Chile</t>
  </si>
  <si>
    <t>International migration; labour insertion; agrarian territories; Chile</t>
  </si>
  <si>
    <t>This article addresses the job-placement of migrant labour in the Chilean agricultural territory, based on the El Maule Region case. First, we elaborated a literature review for the topic on a Latin American scale. Then, we explored the motivations of migrants for choosing an agricultural territory and their job-placement strategies in an area with a strong rural identity and largely based on a silvo-agricultural production. We drew on this to suggest some preliminary reflections about the job career in the silvo-agricultural sector. We used mixed methods, focusing on qualitative techniques. Fifty-seven interviews were conducted with migrants in the El Maule Region. The results showed that the urban-rural features of this territory and the chance to get access to a labour market plenty of job openings -although precarious-are the main drivers to choose the Maule Region. Moreover, the urban habitat patterns and the job-placement largely based on the agricultural area -mainly Haitians-expand the productive dynamic of the agricultural territories.</t>
  </si>
  <si>
    <t>10.7770/0719-2789.2019.CUHSO.02.A03</t>
  </si>
  <si>
    <t>Micheletti, Stefano; Vera, Sandra; Cubillos Almendra, Javiera</t>
  </si>
  <si>
    <t>La Biblioteca Humana Migrante: uso del espacio público y resignificación del proceso migratorio</t>
  </si>
  <si>
    <t>migration; collective action; human library</t>
  </si>
  <si>
    <t>Abstract: This article addresses the innovative experience represented by the Migrant Human Library, an initiative of the MIGRA collective in Talca (in the Maule Region of Chile). Using a compilation of primary and secondary sources of information, the article proposes the need to understand which discourses this experience promotes and what meaning does this attribute to the occupation of the public space. The results underline an intervention that from the perspective of "frameworks for collective action" we will refer to as "micro-mobilization", focused on the construction of integrated meanings within the context of the recent migratory flow experienced by the city. Furthermore, there is clearly an attempt being made through this experience to democratize and re-politicize the public space of an intermediate-sized city, one which is characterized by the role it plays in the surrounding agricultural zone. This urban space is conceived as a place where it is possible to exercise citizenship and promote the deconstruction of stigmas and prejudices towards migrants, through the simple act of bringing people together who don’t know each other.</t>
  </si>
  <si>
    <t>Migliorini L.; Castaldi L.; Rania N.</t>
  </si>
  <si>
    <t>Family rituals in the context of migration: Research data and a case analysis between Italy and Chile</t>
  </si>
  <si>
    <t>Rituals: Past, Present and Future Perspectives</t>
  </si>
  <si>
    <t>Family life; Migration; Rituals; Well-being</t>
  </si>
  <si>
    <t>Rituals promote the ability to attribute meaning to our lives because rituals are profound structures that define the continuity of experience between the past, present and future. These repeated behaviors might serve protective functions for a family’s well-being and may support a family’s identity continuity. Rituals are also deeply involved with cultural identity. Migration can also have a strong influence on family culture because, in general, it is a stressful event for several factors, which affect the family’s system of adjustment and add strain during the transitions of the family life cycle. In this context of family modifications, rituals can be used as a mechanism to reduce these stresses. In particular, to cope with the losses and uprooting of entire systems of meanings, migrant families perform rituals, such as re-creation rituals, in addition to preserving traditional rituals. Furthermore, it is likely that the immigrants’ abandonment of these rituals could lead to problematic adaptations. This chapter aimed to explore ritual meaning to understand ritual functioning in the Italian and Chile contexts. We present studies carried out in Italy regarding the relationships among family daily life, rituals and child development, and we report that the repetition of routines and rituals enables the creation of a structure of predictability that aids children in becoming competent in their social relationships. Furthermore, a family study aimed to explore the structure of daily life to understand and compare family functioning in Italian emigrant couples in Italy has been performed to analyze rituals in migrant and Italian families. Rituals are important resources for generating movement and are dynamic for families whose members, particularly children and adolescents, suffer due to cultural integration difficulties. Regarding this topic, we analyze an intervention in Chile, where the therapeutic context offers the opportunity to build and experiment with rites of passage, allowing the identification of new relational structures that incorporate the new experiences. © 2017 by Nova Science Publishers, Inc. All rights reserved.</t>
  </si>
  <si>
    <t>Miguel Rodrigo, Luis; Atienza, Miguel</t>
  </si>
  <si>
    <t>Migration and regional representations: Discourses on the Region of Antofagasta</t>
  </si>
  <si>
    <t>migration; urban sociology; regional and local development</t>
  </si>
  <si>
    <t>Research on internal migration has been traditionally based on a banal conception of space, without taking into account how regional representations, the socially constructed space, affect the decision of migrating to another region. This work uses the methodologies of discussion group and sociological discourse analysis to identify the discourses of future professionals from other regions in Chile about the Region of Antofagasta, a mining area located in Northern Chile. Despite the growing prosperity of this region during the past two decades, the discourses that represent Antofagasta have a negative denotation with different features according to the socio-spatial distance to this region and gender. These representations could reduce the arrival of qualified migrants and women to Antofagasta and negatively affect the future development of the region.</t>
  </si>
  <si>
    <t>10.4067/S0250-71612014000200008</t>
  </si>
  <si>
    <t>Miguel Rodrigo, Luis; Romani, Gianni; Ricci, Emilio</t>
  </si>
  <si>
    <t>Immigrant entrepreneurs in Antofagasta, Chile: The contribution of South-South entrepreneurs</t>
  </si>
  <si>
    <t>ACADEMIA-REVISTA LATINOAMERICANA DE ADMINISTRACION</t>
  </si>
  <si>
    <t>Immigrant entrepreneurs; South-South migration; Entrepreneurs; Immigrants; Chile</t>
  </si>
  <si>
    <t>Purpose The purpose of this paper is to characterize the immigrant entrepreneurs of the Region of Antofagasta and identify their contribution to local development. Design/methodology/approach This is a descriptive study with a quantitative approach. Face-to-face interviews using a structured questionnaire were carried out with a sample of 314 immigrant entrepreneurs in the city of Antofagasta. The data were analysed using descriptive statistics and mean difference. Findings The results show a new type of entrepreneur that cannot be fully described by the theories developed for South-North immigrant entrepreneurs. The concept of the South-South entrepreneur is therefore proposed, in order to categorise these entrepreneurs and explain their behaviour, with the conclusion that this group makes a significant contribution to the local economy, both in terms of job and wealth creation and by broadening the availability of goods and services. Practical implications Given that immigrant entrepreneurs are a valuable socio-economic asset to the city in terms of job and wealth creation and service diversification, public administrations should endeavour to support these individuals and attract them to the city. Social implications Knowledge of the contribution of this group will lead to a greater acceptance of immigrants who have recently been rejected by certain sectors of the population. Originality/value This study reveals the existence of a group of immigrant entrepreneurs whose characteristics and contribution to local development were previously not known.</t>
  </si>
  <si>
    <t>10.1108/ARLA-11-2016-0301</t>
  </si>
  <si>
    <t>Mihai I.; Novo-Corti I.</t>
  </si>
  <si>
    <t>An exploratory analysis of the interactions between the determinants of migratory flows</t>
  </si>
  <si>
    <t>Papers in Regional Science</t>
  </si>
  <si>
    <t>digital performance; Europe; migration determinants; partial least squares structural equation modelling; societal development</t>
  </si>
  <si>
    <t>More than often, studies explaining migration causes centre on economic explanations and minimize other factors' explanatory power. This research aims at creating a comprehensive model of migration determinants taking into account four dimensions: economic, social, cultural, and digital. A path model consisting of these dimensions was created and estimated through partial least squares structural equation modelling (PLS-SEM). The PLS-path model was applied to Romanian migration flows to 21 EU member states during 2007–2017. The findings indicate that social and technological developments have significant impacts on migration flows and that digital distance has a full mediation effect on the relationship between cultural distance and migration flows. © 2021 The Authors. Papers in Regional Science published by John Wiley &amp; Sons Ltd on behalf of Regional Science Association International.</t>
  </si>
  <si>
    <t>10.1111/pirs.12639</t>
  </si>
  <si>
    <t>Minkette J.R.D.; Infantes A.T.</t>
  </si>
  <si>
    <t>Mapping a migration. African women in the Basque Country: Identities and empowerment; [Cartografía de una migracion. Mujeres Africanas en euskadi: Identidades y empoderamiento]</t>
  </si>
  <si>
    <t>Lurralde: Investigacion y Espacio</t>
  </si>
  <si>
    <t>African women; Empowerment; Identities; Migration; The Basque Country</t>
  </si>
  <si>
    <t>The integration of the gender perspective in migration studies has allowed the migration of women to become visible. However, the possibilities of embarking on such a venture depend on the opportunities and rights that these women have with regards to their current situation, place and culture which is why, despite parity within international migration, African migration is mainly male. This paper approaches the migration of black African women in the Basque Country differently. It distances itself from the usual portrait of helpless women and presents a picture of strong women conscious of their disadvantages but with the capacity for political and social change; women who live in a transnational space and assert their African and European identities.</t>
  </si>
  <si>
    <t>Miorelli R.; Piersanti V.</t>
  </si>
  <si>
    <t>Staying Alive: 1970s Southern Cone Exiles in the UK</t>
  </si>
  <si>
    <t>Argentina; Chile; dictatorship; exile; UK; Uruguay</t>
  </si>
  <si>
    <t>This article seeks to contribute to the study of the 1970s dictatorships in Argentina, Chile and Uruguay by looking at one specific aspect of those regimes: exile. It considers exile in the UK, a host country on which research is limited, and claims that the fundamental political ideas that had inspired these exiles did not vanish but were variously reshaped, depending on changing political circumstances, how the exiles interacted with local forms of solidarity, and how they lived through the personal challenges that they experienced during exile. © 2020 The Authors. Bulletin of Latin American Research published by John Wiley &amp; Sons Ltd on behalf of Society for Latin American Studies.</t>
  </si>
  <si>
    <t>10.1111/blar.13149</t>
  </si>
  <si>
    <t>Miranda S.G.; Santana C.O.</t>
  </si>
  <si>
    <t>Sama and Camaroncs "The borders that never were between Perú and Chile"; [Sama y Camarones: “Las fronteras que no fueron entre Perú y Chile”]</t>
  </si>
  <si>
    <t>Borders in transition; Cultural geography; Diplomacy; Local collective imagination</t>
  </si>
  <si>
    <t>Most borders of the Southern Cone of the continent in the 19th century were not definitive in the twentieth century. Inherited conflicts due to an unclear area, border wars, territorial annexations and arbitration, were usual elements in the tasks of the national States in this sub-region. In the frame of unstable relationships, “borders that did not exist” came up between Chile and Peru; that is to say, those that were discussed diplomatically but rejected at the end, although they have had a long-lasting impact on their inhabitants. We called those borders “borders in transition”. This article follows the idea that there are actors who hold their own territoriality questioning –in certain moments– the off icial and state space. According to this speculation, we deal with the socio-spatial consequences of this “adjustment” in the collective imagination of inhabitants of Tacna, Arica and Tarapaca regarding territories that were Peruvian or Chilean, between Sama and Camarones rivers. © 2017, Revista de Geografia Norte Grande. All rights reserved.</t>
  </si>
  <si>
    <t>Misarti N.; Finney B.P.; Jordan J.W.; Maschner H.D.G.; Addison J.A.; Shapley M.D.; Krumhardt A.; Beget J.E.</t>
  </si>
  <si>
    <t>Early retreat of the Alaska Peninsula Glacier Complex and the implications for coastal migrations of First Americans</t>
  </si>
  <si>
    <t>Quaternary Science Reviews</t>
  </si>
  <si>
    <t>Coastal migration; Deglaciation; First Americans</t>
  </si>
  <si>
    <t>The debate over a coastal migration route for the First Americans revolves around two major points: seafaring technology, and a viable landscape and resource base. Three lake cores from Sanak Island in the western Gulf of Alaska yield the first radiocarbon ages from the continental shelf of the Northeast Pacific and record deglaciation nearly 17. ka BP (thousands of calendar years ago), much earlier than previous estimates based on extrapolated data from other sites outside the coastal corridor in the Gulf of Alaska. Pollen data suggest an arid, terrestrial ecosystem by 16.3. ka BP. Therefore glaciers would not have hindered the movement of humans along the southern edge of the Bering Land Bridge for two millennia before the first well-recognized " New World" archaeological sites were inhabited. © 2012 Elsevier Ltd.</t>
  </si>
  <si>
    <t>10.1016/j.quascirev.2012.05.014</t>
  </si>
  <si>
    <t>Mondaca M.; Josephsson S.</t>
  </si>
  <si>
    <t>Bridging through occupation: Stories of elderly survivors of human rights violations living in Sweden</t>
  </si>
  <si>
    <t>Journal of Occupational Science</t>
  </si>
  <si>
    <t>Liminal spaces; Meaningful occupation; Migration; Narrative method; Psychosocial trauma</t>
  </si>
  <si>
    <t>Experiences of elderly survivors of human rights violations can inform understandings of occupation in relation to how people manage extreme situations and cope with them while growing older. Using a narrative approach, this study explored the importance of everyday life focused on elderly Chilean immigrants in Sweden, who had experienced human rights violations. Data were collected through participant observation and in-depth interviews and analyzed using a narrative interpretative method. Findings are presented as three emploted participants' stories and their possible interpretations. The results highlight the role of occupation in the creation of liminal spaces that make it possible to bridge past and current dimensions of the participants' experiences. The findings show the centrality and the diverse role of occupation in mastering life while growing older and the importance of its political and cultural features for the participants. © 2013 The Journal of Occupational Science Incorporated.</t>
  </si>
  <si>
    <t>10.1080/14427591.2012.755906</t>
  </si>
  <si>
    <t>Mondaca-Rojas, Carlos; Zapata-Sepúlveda, Pamela; Muñoz-Henríquez, Wilson</t>
  </si>
  <si>
    <t>HISTORIA, NACIONALISMO Y DISCRIMINACIÓN EN LAS ESCUELAS DE LA FRONTERA NORTE DE CHILE</t>
  </si>
  <si>
    <t>DIALOGO ANDINO</t>
  </si>
  <si>
    <t>Education; migration; nationalism; discrimination; border; interculturality</t>
  </si>
  <si>
    <t>The article analyzes the diachronic presence of nationalist components in the educational system of the northern border of Chile since the installation of the Chilean State in these post-Pacific War territories until current times. From a qualitative perspective, a methodological exercise is presented that includes the use of documentary sources from the period known as Chileanization and ethnographic observation in contemporary classroom contexts (observations, group interviews, and in-depth individual interviews). This demonstrates that nationalism is present in our national education and still uses an assimilationist logic that facilitates the reproduction of forms of discrimination of a nationalistic, racial, and ethnic type.</t>
  </si>
  <si>
    <t>Mondaca, Carlos; Munoz, Wilson; Gajardo, Yeliza; Gairin, Joaquin</t>
  </si>
  <si>
    <t>Strategies and inclusion practices of migrant students in Arica and Parinacota schools, northern border of Chile</t>
  </si>
  <si>
    <t>sociocultural insertion; migration; education; north of Chile</t>
  </si>
  <si>
    <t>The aim of this article is to describe and characterize the strategies and sociocultural insertion practices in migrant students (Peruvians and Bolivians) in schools located in the Arica and Parinacota region, Northern Chile. It is analyzed how the formal educational system has not developed institutional mechanisms of sociocultural integration that allow an appropiate insertion to foreign students in chilean schools, whereby, different social agents (students, parents and representatives) have had to display strategies and specific insertion practices adapted to the local context, generating emerging mechanisms of sociocultural integration.</t>
  </si>
  <si>
    <t>10.4067/S0718-10432018005000101</t>
  </si>
  <si>
    <t>Montt, Cristobal; Maas, Ineke</t>
  </si>
  <si>
    <t>The openness of Britain during industrialisation. Determinants of career success of British men born between 1780 and 1880</t>
  </si>
  <si>
    <t>RESEARCH IN SOCIAL STRATIFICATION AND MOBILITY</t>
  </si>
  <si>
    <t>Occupational career; Multilevel growth model; Industrialisation</t>
  </si>
  <si>
    <t>In this article, we study the occupational careers of British men during industrialisation. We ask whether careers became more successful during industrialisation and whether British society became more open. Using the Longitudinal Study of Residential Histories dataset we analysed the career of 6229 men born between 1780 and 1880 with a multilevel growth model. Over time men's careers became somewhat more successful: men started their careers at a higher occupational status, but status did not grow at a faster rate. Father's occupational status and son's education were main determinants of career success. The importance of education did not increase, but the relevance of father's status declined, suggesting that with industrialisation Britain became a more open society. (C) 2015 Elsevier Ltd. All rights reserved.</t>
  </si>
  <si>
    <t>10.1016/j.rssm.2015.09.003</t>
  </si>
  <si>
    <t>Moorhouse L.; Cunningham P.</t>
  </si>
  <si>
    <t>"We are Purified by Fire": The Complexification of Motherhood in the Context of Migration</t>
  </si>
  <si>
    <t>Identity; Migration; Othering; Port Elizabeth; Role Complexification; Transnational Families; Transnational Motherhood; Zimbabwean Migrants</t>
  </si>
  <si>
    <t>The paper examines the relationship between migration, the reconstruction of motherhood as identity and the transnational mothering role. The complexification of the mothering role in a transnational context is unpacked within a phenomenological approach. An in-depth thematic case study analysis of selected Zimbabwean women who had migrated to Port Elizabeth, South Africa, found that migration has implications for the ongoing identity development and relationship dynamics within the transnational family structure and further impacts on the women's perceptions of their social identity. This identity is mediated by a 'double-othering' as a consequence of the rejection of both the host community and her fellow Zimbabwean migrants. © 2012 Copyright Taylor and Francis Group, LLC.</t>
  </si>
  <si>
    <t>10.1080/07256868.2012.701607</t>
  </si>
  <si>
    <t>Mora Olate M.L.</t>
  </si>
  <si>
    <t>Contributions of the latin american intercultural philosophy to the management of migrant cultural diversity in school; [Aportes de la filosofía intercultural latinoamericana para la gestión de la diversidad cultural migrante en la escuela]</t>
  </si>
  <si>
    <t>Utopia y Praxis Latinoamericana</t>
  </si>
  <si>
    <t>Latin America; Migration; Multiculturalism; Philosophy</t>
  </si>
  <si>
    <t>The prevailing assimilationist school model is updated in homogenizing teaching discourses against the cultural diversity at the classrooms. So, how do Latin American philosophical thinking and interculturality contribute to the challenge of managing migrant cultural diversity in school? The answers, from a critical intercultural project, return to the contributions of Latin American thinkers, such as Fornet-Betancourt, Dussel, Walsh and Tubino. This reflection recognizes Latin America as a production place of emancipatory thinking, questioning the colonized ways of thinking that support the schooling processes of students from a monocultural perspective of school curriculum management. © 2019, Universidad del Zulia. All rights reserved.</t>
  </si>
  <si>
    <t>10.5281/zenodo.3463789</t>
  </si>
  <si>
    <t>Mora-Olate M.L.</t>
  </si>
  <si>
    <t>TEACHERS’ DISCOURSES ON THE PRESENCE OF MIGRANT STUDENTS IN THE HISTORY CLASSROOM: TOWARDS A DIALOGUE OF KNOWLEDGE; [DISCURSOS DOCENTES EN TORNO A LA PRESENCIA DE ALUMNADO MIGRANTE EN LA CLASE DE HISTORIA: HACIA UN DIÁLOGO DE SABERES]</t>
  </si>
  <si>
    <t>Atenea</t>
  </si>
  <si>
    <t>Chile; migrants; school curriculum; Teachers’ discourses</t>
  </si>
  <si>
    <t>This qualitative study aims to characterise the potentialities derived from the presence of migrant students in the implementation of the History, Geography and Social Sciences curriculum in Chilean classrooms. From an interpretative paradigm, the discourses of twelve interviews with primary and secondary school teachers from municipal schools with the highest foreign enrolment in the commune of Chillán (Ñuble, Chile) were analysed. The main finding refers to the fact that teachers see the presence of migrant students as anopportunity the establishment of a dialogue of knowledge, as these students are living historical sources. This would occur through the valuing and emerging use of cultural knowledge from the voices of migrant students and participatory strategies deployed by teachers. However, such dialogue would turn out to be a self-interested exercise, according to the dominant competency-based curriculum matrix in education. © (), (). All Rights Reserved.</t>
  </si>
  <si>
    <t>10.29393/At526-4DDMM10004</t>
  </si>
  <si>
    <t>TEACHING HISTORY IN CHILEAN CLASSROOMS WITH MIGRANT SCHOOLCHILDREN: TENSIONS FROM TEACHERS’ DISCOURSES; [ENSEÑANZA DE LA HISTORIA EN AULAS CHILENAS CON ESCOLARES MIGRANTES: TENSIONES DESDE LOS DISCURSOS DOCENTES*]</t>
  </si>
  <si>
    <t>History of chile; Migration; School; Teachers</t>
  </si>
  <si>
    <t>The objective of this article is to characterize, from the teachers’ voices, the tensions involved in the implementation process of the History, Geography and Social Sciences curriculum in classrooms with the presence of students of migrant origin. From an interpretative paradigm, we analyze the discourses derived from qualitative interviews with twelve teachers from four municipal schools that concentrate the enrollment of migrant students in the commune of Chillán (Ñuble, Chile). The results show in the teachers’ discourses an ambivalent conception of both the curriculum and the evaluation of migrant cultural diversity and a predominance of a Chilean-centered approach in the subject of History, through the recurrence of national anniversaries and heroes and the unilateral approach, from a Chilean perspective, of conflictive historical events such as the War of the Pacific. © 2022, Dialogo Andino. All Rights Reserved.</t>
  </si>
  <si>
    <t>10.4067/S0719-26812022000100158</t>
  </si>
  <si>
    <t>Migrant cultural diversity and school curriculum in language and communication from 1st to 6th grade: Distances and proximities; [Diversidad cultural migrante y currículum escolar en lenguaje y comunicación de 1° a 6 ° básico: Distancias y proximidades]</t>
  </si>
  <si>
    <t>Culture; Curricular bases; Interculturality; Migration; Study programs</t>
  </si>
  <si>
    <t>The presence of students of migrant origin in Chilean classrooms is a growing reality, which stresses the role attributed to the national curriculum in its attempt to offer a common cultural base. Considering this tension, the study proposes to read critically, the Curricular Bases and Language and Communication study programs from 1st to 6th grade. Through a methodology of documentary analysis and the technique of qualitative content analysis, the objective is to evaluate the proximity and distances that the official curriculum of the area establish in relation to the subject of migration. The results show a greater predominance of curricular distances, which respond to an exercise of exclusion of migrant cultural diversity due to the monocultural hegemony of the curriculum. In as much, the curricular bases, study programs, culture, migration. © 2019.</t>
  </si>
  <si>
    <t>10.4067/S0718-07052019000100083</t>
  </si>
  <si>
    <t>Mora, Claudia; Undurraga, Eduardo A.</t>
  </si>
  <si>
    <t>Racialisation of Immigrants at Work: Labour Mobility and Segmentation of Peruvian Migrants in Chile</t>
  </si>
  <si>
    <t>BULLETIN OF LATIN AMERICAN RESEARCH</t>
  </si>
  <si>
    <t>immigration; inequality; labour market; racialisation; social stratification; south-south migration</t>
  </si>
  <si>
    <t>This article explores the emergent racialisation of Peruvian migrants as one element conditioning the labour segregation that characterises Peruvian insertion in Chile. We understand racialisation as a process of construction of categories in which both individual and collective actors participate, and whose expression is demonstrated by the differentiation and inequality that affects the racialised group. We tackle the articulation of racial differences among individual actors, both Chilean employers and Peruvian migrant workers, to suggest that the attribution of naturalised characteristics to migrants is related to segregation, mobility, and specific trajectories in the labour market.</t>
  </si>
  <si>
    <t>10.1111/blar.12002</t>
  </si>
  <si>
    <t>Moraga R., Jorge; Manríquez S., Rodrigo; Invernón D., Giselle; Zamora K., Tomás</t>
  </si>
  <si>
    <t>Malls chinos en Santiago de Chile. Inserción, posicionamiento y expansión comercial china en el barrio Unión Latinoamericana1</t>
  </si>
  <si>
    <t>Chinese migration in Chile; Overseas Chinese (华侨, huaqiao); Global commodity chain; Chinese entrepreneurs (个体 getihu 伤人 shangren); Reciprocity; Chinese family (家jiā)</t>
  </si>
  <si>
    <t>Abstract The paper investigates the practices of expansion and settlement of Chinese business families in global merchandise chains in Latin America. We analyze the case of the Chinese malls in the Unión Latinoamericana neighborhood, in Santiago de Chile, one of the main distribution nodes in the Southern Cone of America. We propose that -unlike other readings on the overseas Chinese (华侨 huaqiao)- their insertion, maintenance and success are not explained only by their closure and internal support, but on the contrary, by their powerful extra-community relationship with State agents, other migrants and natives who make their existence possible in a transnational network. We propose that a key point is the social disposition to generate symbolic capital from a “debt” framed in legitimate reciprocity structures in China that find an analogous coupling in social subjects in Chile.</t>
  </si>
  <si>
    <t>10.51188/rrts.num27.648</t>
  </si>
  <si>
    <t>Moraga, Jorge; Garces, Alejandro; Saavedra, Adrian; Manriquez, Rodrigo; Wu, Qingjun</t>
  </si>
  <si>
    <t>Reciprocity and Mediation Between the State and Society: An Overview of Chinese Business Associations in Chile</t>
  </si>
  <si>
    <t>CHINA PERSPECTIVES</t>
  </si>
  <si>
    <t>Overseas Chinese associations; entrepreneurship; Chinese migration in Chile; Overseas Chinese; power</t>
  </si>
  <si>
    <t>This article analyses present-day Chinese business associations in Chile in terms of their different territorial origins and types of membership, how leadership is created, and how the associations relate to the Chinese and Chilean states and their respective societies. We propose that (1) new forms of cohesion are putting tension on traditional connections between territorial relationships and areas of origin; (2) monetary and symbolic debts connect individuals and institutions, creating and legitimising leaders; and (3) Chinese business associations in Chile develop mechanisms for mediating the interests of their members, Chinese state policies, and accommodation within the Chilean social and political structure.</t>
  </si>
  <si>
    <t>Morales F.G.</t>
  </si>
  <si>
    <t>Multilateralism, Migration and Human Rights: Before and after the Global Compact for Safe, Orderly and Regular Migration; [MULTILATERALISMO, MIGRACIÓN Y DERECHOS HUMANOS: ANTES Y DESPUÉS DEL PACTO MUNDIAL PARA UNA MIGRACIÓN SEGURA, ORDENADA Y REGULAR]</t>
  </si>
  <si>
    <t>Global Compact for a Safe, Orderly and Regular Migration; human rights of migrants; migration; multilateralism</t>
  </si>
  <si>
    <t>For decades, the United Nations and its Member States refrained from addressing migration through a multilateral approach. Initial attempts occurred at the beginning of this Century and became more significant in the last few years. The Global Compact for a Safe, Orderly and Regular Migration represents a milestone in this regard. Its implementation will be key to consolidate a multilateral approach to migration and enhance the protection of the human rights of migrants. © 2020, Scalabriniano Center for Migratory Studies. All rights reserved.</t>
  </si>
  <si>
    <t>10.1590/1980-85852503880006011</t>
  </si>
  <si>
    <t>Morales R.V.; Vargas F.J.; Hernández-Yáñez M.-T.; Fardella C.</t>
  </si>
  <si>
    <t>Devices for welcoming foreign students as formative intervention platforms; [Dispositivos de acogida para estudiantes extranjeros como plataformas de intervención formativa]</t>
  </si>
  <si>
    <t>Inclusion; Interculturality; Migration; School practices</t>
  </si>
  <si>
    <t>The absence of a government model of reception for the migrant school population has forced schools to redesign their educational practices, assuming in a self-taught and creative way work around cultural diversity. Therefore, we set out to understand how schools have responded to the arrival of foreign students and what educational practices they have deployed in this regard. Through an ethnographic work of 2 years in 4 public schools with educational projects with intercultural stamp and high enrollment of foreign students, it is revealed the existence of 10 reception devices that have allowed schools to manage the educational inclusion of foreign students. We analyze these devices in terms of the dimensions involved, degrees of sophistication and the contradictions that they generate within schools, and we discuss their scope and contributions based on an experience of formative intervention. © 2020 Universidad Austral de Chile.</t>
  </si>
  <si>
    <t>10.4067/S0718-07052019000300261</t>
  </si>
  <si>
    <t>Morales-Roselló J.; Buongiorno S.; Loscalzo G.; Scarinci E.; Dias T.; Rosati P.; Lanzone A.; Marín A.P.</t>
  </si>
  <si>
    <t>Does emigration by itself improve birth weight? Study in European newborns of Indo-Pakistan origin</t>
  </si>
  <si>
    <t>Birth weight; Ethnicity; Fetal growth; Maternal nutrition; Migration</t>
  </si>
  <si>
    <t>Objective: Our aim was to evaluate the effect of emigration on fetal birth weight (BW) in a group of pregnant women coming from the Indian subcontinent. Methods: This was a retrospective study in a mixed population of pregnant women from the Indian subcontinent that either moved to Europe or stayed in their original countries. The influence of emigration along with several pregnancy characteristics: GA at delivery, fetal gender, maternal age, height, weight, body mass index (BMI) and parity on BW was evaluated by means of multivariable linear regression analysis. Results: According to European standards, babies born to Indo-Pakistan emigrants and babies born to women staying in the Indian subcontinent were similarly small (BW centile 30± 29 and 30.1 ± 28, p&lt;0.68). Multivariable regression demonstrated that emigration by itself did not exert a direct influence on BW (p = 0.27), being BMI and gestational age at delivery the true determinants of BW (p&lt;0.0001). Conclusions: Maternal BMI is the most relevant parameter affecting fetal growth regardless of the place of residence. © 2023</t>
  </si>
  <si>
    <t>10.1016/j.jmh.2023.100165</t>
  </si>
  <si>
    <t>Morales, Nadia; Contreras, Camila; Chavez, David; Ramos, Mar; Felt, Emily; Collazos, Francisco</t>
  </si>
  <si>
    <t>School context and mental health of migrant and non-migrant adolescents in Barcelona</t>
  </si>
  <si>
    <t>PSICOLOGIA EDUCATIVA</t>
  </si>
  <si>
    <t>Adolescence; Migration; School-related factors; Mental health</t>
  </si>
  <si>
    <t>The continuous international migration flow invites us to reinvent ourselves to create inclusive societies at intercultural level. Coexistence, as a model based on the mutual integration of locals and migrants, is still a challenge to face in Europe and Spain. This study aims to identify which mental health and resilience variables influence school integration used as a proxy for psychosocial well-being by comparing a sample of migrant and local adolescents. Through a quantitative methodology, school factors, disruptive behaviors, and resilience were measured in 132 students aged between 12 and 18 years old. The results reveal that although mental health scores are similar in both groups, mental health and contextual resilience are more critical for the migrant adolescent population than for the local one. Clearly identifying the relationships between school related factors and mental health offers the possibility of designing effective interventions within the educational context.</t>
  </si>
  <si>
    <t>10.5093/psed2021a6</t>
  </si>
  <si>
    <t>Moraru, Mirona</t>
  </si>
  <si>
    <t>When there's something wrong, it's the colour</t>
  </si>
  <si>
    <t>TRANSLATION AND TRANSLANGUAGING IN MULTILINGUAL CONTEXTS</t>
  </si>
  <si>
    <t>multilingual schools; intercultural mediation; migration; linguistic racism; Chile; Pierre Bourdieu</t>
  </si>
  <si>
    <t>Haitian pupils challenge the homogenous and monolingual imaginary of the Chilean classroom primarily given their limited proficiency in Spanish and their skin colour. One bottom-up strategy implemented by some schools is the recruitment of a Haitian intercultural facilitator, whose aim is to offer linguistic and cultural support primarily through interpretation and translation. The main objective of the present article is to explore how Haitian intercultural facilitators mediate the intersection between language and race in emerging multilingual Chilean classrooms. In order to do so, the article analyses three in-depth interviews with Haitian intercultural facilitators employing the main conceptual tools offered by the model of linguistic production and circulation developed by the French sociologist Pierre Bourdieu. The main results outline that both Haitian pupils and Haitian intercultural facilitators go through a process of racialisation carried out by the rest of the school community. In turn, this affects how Haitian pupils are perceived and treated, as well as how Haitian facilitators can mediate the tensions emerging at the intersection between language and race. These findings represent novel insights into the complex but little explored multilingual schooling processes in the Global South.</t>
  </si>
  <si>
    <t>10.1075/ttmc.00135.mor</t>
  </si>
  <si>
    <t>Moreno X.; Sánchez H.; Huerta M.; Albala C.; Márquez C.</t>
  </si>
  <si>
    <t>Social Representations of Older Adults Among Chilean Elders of Three Cities with Different Historical and Sociodemographic Background</t>
  </si>
  <si>
    <t>Aging; Correspondence analysis; Latin America; Older adults; Social representations</t>
  </si>
  <si>
    <t>The study was aimed to explore social representations of older adults among Chilean people aged 70 or more, living in three cities with differences in historical, geographic, and sociodemographic characteristics and to explore the importance of the local context on their shaping. Multiple correspondence analysis was employed to analyze the terms produced through free-word association technique, by 741 people. The two first dimensions explained 62.4 % of the inertia and showed that the contribution of city of residence was several times higher than the average; the contribution of gender and educational level was higher than average as well. The northern city representations were characterized by positive terms, whereas more negative contents were characteristic of the city of the center, and terms without an explicitly positive or negative assessment were associated to the southern city. These findings reinforce the relevance of the local sociocultural context in shaping social representations of old age and stress the importance of considering particular regional features in the design of policies and interventions aimed to recognize and integrate older adults in Chile. © 2016, Springer Science+Business Media New York.</t>
  </si>
  <si>
    <t>10.1007/s10823-016-9288-y</t>
  </si>
  <si>
    <t>Morra M.; Palieraki E.; Pedemonte R.</t>
  </si>
  <si>
    <t>Chile’s Unidad Popular (1970-1973): Historiographical balance and new transnational perspectives; [A Unidad Popular chilena (1970-1973): balanço historiográfico e novas perspectivas transnacionais]; [La Unidad Popular chilena (1970-1973): balance historiográfico y nuevas perspectivas trasnacionales]</t>
  </si>
  <si>
    <t>Chile; Chile’s Unidad Popular; historiography; left; transnational history; “Chilean Road to Socialism”</t>
  </si>
  <si>
    <t>Objective/Context: This historiographical introduction, as well as the articles published in this special issue of Historia Crítica entitled “The Chilean Way to Socialism” from a transnational perspective, aim to highlight how this approach helps us to overcome the limitations inherited from the existing historiography on the Unidad Popular (up), which tends to adopt a national framework of analysis. Methodology: It consists of critically analyzing and summarizing the contributions of the research carried out on the up from 2003 to date. Originality and Conclusions: We found that the transnational dimension of the “1970-1973 cycle” has been absent or marginal in much of the historiography about the period. The national approach to the political process of the up is generally accompanied by the conviction about the alleged exceptionality of the “thousand days” of Allende. Based on the historiographical discussion of the present essay and the contributions of the articles in the dossier, we show that the transnational approach to the up allows its complete understanding by inserting it in a broader context than the national one. The regional approach makes it possible to demonstrate that the up is one of the numerous projects of “democratic revolution” that marked the “Inter-American Cold War,” while the global approach shows that the impact of the up was not only due to its exceptional nature but also to the resonance of the “Chilean road to socialism” project, with the long-standing debates on revolutionary paths and models of society that agitated the world political lefts throughout the twentieth and twenty-first centuries. The focus on the “peripheral spaces” of the Cold War allows us to think of the Allende government as an additional case of the successive efforts to find an alternative path to Soviet socialism and u.s. capitalism. © 2023, Universidad de los Andes, Colombia. All rights reserved.</t>
  </si>
  <si>
    <t>10.7440/histcrit90.2023.01</t>
  </si>
  <si>
    <t>Moya, Pedro Harris</t>
  </si>
  <si>
    <t>The Administrative Appeal in the New Chilean Immigration Law</t>
  </si>
  <si>
    <t>Administrative review; administrative appeal; administrative justice; migration; foreigners</t>
  </si>
  <si>
    <t>The entry into force of the Law No. 21325 in Chile in 2021 has not only reformed judicial review in matters of migration and foreigners, it has also introduced significant modifications to administrative appeal, under the application of basic administrative laws. Apparently, this law has increased the effectiveness of such claims if they are exercised against non-expulsive acts (having established their compatibility with other appeals and, likewise, the suspension of the effects of the contested acts) and excluded the application of administrative appeals against an expulsion measure. However, this first interpretation can admit other interpretations. The administrative appeal against non-expulsive acts may impose restrictions on the rights of the claimant, in line with certain interpretative criteria developed by the case law in Chile. Likewise, the ineffectiveness of such claims against expulsive acts may be corrected, in accordance with the constitutional guarantees regarding the exercise of these mechanisms.</t>
  </si>
  <si>
    <t>10.18800/derechopucp.202202.007</t>
  </si>
  <si>
    <t>Moyano Davila, Camila; Joiko, Sara; Oyarzun, Juan de Dios</t>
  </si>
  <si>
    <t>Searching for an educational shelter: classification, racialisation and genderisation during migrant families' school-choice experiences in Chile</t>
  </si>
  <si>
    <t>INTERNATIONAL STUDIES IN SOCIOLOGY OF EDUCATION</t>
  </si>
  <si>
    <t>Migration; classification; racialisation; genderisation; intersectionality; school choice</t>
  </si>
  <si>
    <t>Latin families moving to a different Latin American country are placed in a dominated position by what is called 'coloniality'. In this sense, we argue that the processes of classification (in terms of social class), racialisation and genderisation that migrant Latin families experience when choosing schools for their children in the Chilean context can be a form of this coloniality. To make our case, we use narratives from in-depth interviews conducted in Valparaiso with migrant families who applied to schools under the new admission system. In this sense, narratives show that the processes of classification, racialisation and genderisation, as socio-cultural productions, intersect with migrant families' school-choice experiences. These intersections emerge when families match school choices with an shelter search, as they manifest their interests to protect their children, avoiding schools with 'marginal children' or racial bullying and safeguarding gender expectations.</t>
  </si>
  <si>
    <t>10.1080/09620214.2020.1771748</t>
  </si>
  <si>
    <t>Mukhortikova T.</t>
  </si>
  <si>
    <t>The Migrant Caravan in La Jornada and The New York Times; [La caravana migrante en las noticias de La Jornada y The New York Times]</t>
  </si>
  <si>
    <t>Comunicacion y Medios</t>
  </si>
  <si>
    <t>Frame; Humanitarian Crisis; Migrant Caravan; Migrant Crisis; Migration</t>
  </si>
  <si>
    <t>This article analyzes news frames identified in the press coverage of the 2018 Migrant Caravan. To do so, the digital versions of the Mexican newspaper La Jornada and the American newspaper The New York Times were analyzed. The papers represent two countries, one being the final destination of the immigrants and the other, a transit country. The study reveals differences in how the Caravan was framed. While the American newspaper focused on the reactions and consequences at the political, geopolitical, or economic level, maintaining a distant approach, the Mexican newspaper paid more attention to the management of the Caravan and exploring the causes of the displacement, keeping the focus on human stories. © The Author(s) 2022.</t>
  </si>
  <si>
    <t>10.5354/0719-1529.2022.65996</t>
  </si>
  <si>
    <t>Mulska O.; Vasyltsiv T.; Levytska O.; Sabetska T.; Stefanyshyn L.</t>
  </si>
  <si>
    <t>Development of Regional Labor Markets in Ukraine as a Tool to Regulate Internal Migration and Reduce Social Vulnerability</t>
  </si>
  <si>
    <t>Central European Management Journal</t>
  </si>
  <si>
    <t>attractiveness; balance; employment; labor market; migration; regulation tools; Ukraine</t>
  </si>
  <si>
    <t>Purpose: The article explores links between the attractiveness of regional labor markets and internal migration as a change in the usual place of residence in Ukraine. Methodology: Based on the migration theory of "push-pull"a study of the attractiveness of regional labor markets as determinants of the intensification of internal migration in 24 regions of Ukraine (2010-2020) was conducted with the use of integrated assessment and balance econometric modeling. Findings: The study found that the internal migration activity in Ukraine is of urbanistic nature because the development of rural-urban area migration vectors dominates in the country. The most attractive regions in the focus of internal emigration and immigration processes are defined based on the developed rankings of the regions' attractiveness by the system of labor market and employment development indicators. Research limitations: This article studies a specific country and its regions, along with the local labor market. One should be careful when generalizing the results to other regional labor markets. Originality/value: The level of regional labor markets' attractiveness correlated with internal migration activity. The attractive regional labor market, high IT market development level, and increasing innovative-technological capacity proved the main attraction factors of these regions.  © 2022 Olha Mulska et al., published by Sciendo.</t>
  </si>
  <si>
    <t>10.7206/cemj.2658-0845.92</t>
  </si>
  <si>
    <t>Muniz J.O.</t>
  </si>
  <si>
    <t>Demographic analysis and forecasting using of inter-municipal population growth and distribution matrices; [Análise e previsão demográfica utilizando matrizes de crescimento e distribuição populacional intermunicipal]; [Análisis y previsión demográfica utilizando matrices de crecimiento y distribución intermunicipal de la población]</t>
  </si>
  <si>
    <t>Revista Brasileira de Estudos de Populacao</t>
  </si>
  <si>
    <t>County; Migration; Natural growth; Projections; Spatial analysis</t>
  </si>
  <si>
    <t>Challenges in the field of demographic projections include, among others, the volatility of the migration component-critical for the projection of small areas; the compatibility between projections of small and large areas; and the measurement and inclusion of uncertainty in future scenarios of population growth. This article presents a new probabilistic method to conduct interregional population forecasting dealing with these three challenges. The proposed method has the following advantages: 1) it only requires information about the last place of residence and the population distributions of the last two Censuses; 2) it generates confidence intervals for the projected populations; 3) it makes the role of migration flows in the growth dynamics explicit and; 4) it facilitates the elaboration of counterfactual scenarios and sensitivity analysis using matrices of interregional population growth and distribution. We describe the patterns and trends in migration flows in the state of São Paulo applying spatial visualization tools and identifying areas in which migration is responsible for considerable shares of the demographic dynamics. About 95% of the 572 municipal projected populations of São Paulo had good precision and were within expected confidence intervals. We used data from the 1980, 1991 and 2000 Brazilian Censuses. © 2018, Associacao Brasileira de Estudos Populacionais. All rights reserved.</t>
  </si>
  <si>
    <t>10.20947/S0102-3098A0051</t>
  </si>
  <si>
    <t>Munoz-Bertrand, Ines</t>
  </si>
  <si>
    <t>Is there an Effect of the Economic Context on the Intention to Return to the Country of Origin? The Case of Chilean Emigrants</t>
  </si>
  <si>
    <t>International; Migration; Neoclassical; Theories; Intention; Return Intention; Emigration; Chile</t>
  </si>
  <si>
    <t>The objective of this article is to explore the effects of the economic context of the country of residence on the decla-ration of return intentions among immigrants. Using data from the Second Registry of Chileans Abroad, this article establishes a multilevel analysis of the determinants of the return intentions of Chilean emigrants. The aim is to under-stand the articulation of several explanatory variables at different levels, that is, to what extent the characteristics of the countries in which emigrants live determine their intention to return in relation to factors related to their life trajectory. The contribution of this article is to show that while the effects of the economic context do not seem to be significant, the indi- vidual variables, on the other hand, show a strong impact that is congruent with the rest of the literature on the intention to return.</t>
  </si>
  <si>
    <t>e202222</t>
  </si>
  <si>
    <t>10.31406/relap2023.v17.e202222</t>
  </si>
  <si>
    <t>Munoz-Henriquez, Wilson; Fernandez-Mostaza, Maria-Esther</t>
  </si>
  <si>
    <t>Displacement, rituality and spatial configuration. The Lord of Miracles in Barcelona</t>
  </si>
  <si>
    <t>urban culture; public space; migration</t>
  </si>
  <si>
    <t>The procession of the Lord of Miracles is a massive religious manifestation originally from Peru, that has taken place during October in several cities around the world. The aim of this article is to analyze the relationship between this ritual manifestation (for the case of Barcelona) and the spatial reconfiguration that it involves, focusing specifically on the practice of dance. As a main methodological strategy, we use ethnography focused on the procession that took place in Barcelona (Spain) for the years of 2016, 2017 and 2018. Additionally, we conducted in-depth interviews with key informants, focus groups and we searched for documentary and historical information. Throughout the article, we show that the procession of the Lord of Miracles and the spatial reconfiguration that it entails are co-produced ritual phenomena. The procession would operate, consequently, as a mobile micro-landscape ritual, along with the ritualized manifestation of cultural differences and tensions.</t>
  </si>
  <si>
    <t>10.7764/eure.47.142.08</t>
  </si>
  <si>
    <t>Munoz-Labrana, Carlos; Ajagan-Lester, Luis; Martinez-Rodriguez, Rosendo; Torres-Duran, Bastian; Munoz-Grandon, Carlos; Gutierrez-Cortes, Karen</t>
  </si>
  <si>
    <t>Migration and School: Perceptions of Primary School Teachers About Migrant Children</t>
  </si>
  <si>
    <t>REVISTA ELECTRONICA EDUCARE</t>
  </si>
  <si>
    <t>Immigration; migrant; primary teacher; perception</t>
  </si>
  <si>
    <t>The research aimed to analyze the perceptions that primary school teachers have of migrant children. The study was conducted in four public schools in Concepcion, Chile. An in-depth interview as a data collection technique was used and involved 20 teachers of both sexes who work in educational establishments that have received migrant children in the last two years. The results indicate that migrants have become a concern in the school and a phenomenon that is here to stay. It is a phenomenon that divides the teaching staff at times, and for which they consider themselves unprepared since migrant children make teaching work in the classroom more complex. They perceive migration as a process closer to other countries' reality and difficult to understand, especially for the long-serving staff. However, the research shows that teachers positively value the increase in enrollment, as well as the possibility of talking about diversity in the classroom and thinking about the country and the continent's reality. They also value the importance of language to communicate and due respect for teachers.</t>
  </si>
  <si>
    <t>10.15359/ree.25-1.14</t>
  </si>
  <si>
    <t>Munoz, Luis Enrique Pincheira; Jeldrez, Blanca Elena Cifuentes</t>
  </si>
  <si>
    <t>Cross-cultural reading behavior: interpellating multicultural educational realities</t>
  </si>
  <si>
    <t>FORO EDUCACIONAL</t>
  </si>
  <si>
    <t>Reading behavior; multicultural; educational; realities; migration; intercultural; readers</t>
  </si>
  <si>
    <t>This article is related to intercultural reading behavior and proposal in municipal multicultural educational realities. The objective is to argue that reading behavior in an intercultural context promotes comprehensive knowledge, equality, and appreciation for diverse cultural expressions. To achieve our aim, we conducted a critical documentary review using content analysis methodology. This technique helped us to understand the message conveyed by a text by first identifying keywords themes that best represent or summarize it. Afterward, we registered how these keywords or themes are portrayed in the analyzed texts. The research indicates that by encouraging students to use both oral and written language, we can promote reading habits and help develop critical readers who respect other cultures. This is referred to as intercultural reading.</t>
  </si>
  <si>
    <t>10.29344/07180772.41.3528</t>
  </si>
  <si>
    <t>Munoz, Yafza Reyes; Munoz, Vania Reyes</t>
  </si>
  <si>
    <t>State care services as devices of acceptance to the social body: the case of Afro-descendant migrant mothers in Chile, beneficiaries of the National Child Health Program</t>
  </si>
  <si>
    <t>migrant women; state care benefits; nurses; black motherhood; children's health</t>
  </si>
  <si>
    <t>Introduction In the field of medical anthropology, particularly from the practices of medical care in a situated context, the text discusses how state care services under the National Child Health Programme implemented by nursing professionals in Chile transmit values and expectations that could be transformed into devices of acceptance to the social body for migrant mothers of African descent who come with their children to health centres.Methods The Methodology employed in this study was devised through a case study in the commune of Talca, within the Maule region, utilizing semi-structured interviews with nurses who work within the Programme, as well as open interviews and thematic workshops with migrant women users of the Programme.Results The results point to the valuation of the programme by the women, who identify it as an instance of providing and receiving care for their children; they also recognise that they are judged by their caregivers for not correctly following the instructions given to them with their children living in Chile or for exercising transnational maternity. On the other hand, nursing professionals revealed racial and class prejudices about women of African descent, especially Haitian women.Discussion It is suggested that this programme, recognized regionally as an effective assistance and care policy in the fight against infant mortality and morbidity, becomes an acculturation device for migrant mothers and their children born in Chile. It is expected that both mothers and children adhere to the program's guidelines, resulting in similar behaviours and attitudes as those of Chilean mothers. This generates few instances of learning and appreciation of the native cultures of the new Chilean infants and reveals that categories of differences such as ethno-racial, gender, and migratory status are articulated in the nurses' health practices, emphasising the mandate to follow the instructions of migrant mothers and their children.</t>
  </si>
  <si>
    <t>10.3389/fhumd.2024.1270601</t>
  </si>
  <si>
    <t>Muñoz Arroyave E.A.; Balcázar-Camacho D.A.; Jiménez-Munive J.M.</t>
  </si>
  <si>
    <t>Territorial transformation of the migrant. A study on venezuelan migration in Medellin, Colombia; [Transformación territorial del migrante. Estudio sobre la migración venezolana en Medellín, Colombia]</t>
  </si>
  <si>
    <t>expulsion; Migration; spatialities; temporalities; territorial transformation</t>
  </si>
  <si>
    <t>Venezuelan migration has had effects both among the families that have experienced the migration of one of their members, as well as in the cities to which these people go. Thus, the objective of this article is to analyze the territorial transformations experienced by Venezuelan migrants during their period of residence in the city of Medellín, Colombia. The research was qualitative and used a hermeneutic method for the analysis of interviews with Venezuelans living in Medellin. The results showed that Venezuelans have experienced a territorial transformation manifested in their spatiality, temporality and social relations. It is concluded that, although it is not an obligation for a State to watch over the human rights of foreign citizens, in reality it is an obligation before the international and national community; this protection of migrants becomes an ethical and moral obligation for the respect and care of the human lives that are at stake, especially when the reasons for migration are the expulsions generated by the internal and external socioeconomic system of a territory. © 2023, Universidad del Zulia. All rights reserved.</t>
  </si>
  <si>
    <t>10.52080/rvgluz.28.102.6</t>
  </si>
  <si>
    <t>Muñoz H.P.; Reyes C.G.; Lobos A.C.; Rodríguez M.V.; Kawada F.H.; Buzzetti D.M.</t>
  </si>
  <si>
    <t>Normocentrism, diversity, and otherness: Deconstructing chilean inclusive education policies; [Normocentrismo, diversidade e alteridade: Desconstruindo as políticas educacionais inclusivas do chile]; [Normocentrismo, diversidad y alteridades: Deconstruyendo las políticas educativas inclusivas en chile]</t>
  </si>
  <si>
    <t>Chile; Diversity; Educational policies; Inclusión; Otherness</t>
  </si>
  <si>
    <t>During recent decades, and in the context of global movements for educational reforms, a series of inclusive policies have been enacted in Chile. Based on these transformations, the objective of this article is to analyse a set of policies aimed at the attention of special needs students. Methodologically, a documentary work was conducted, in which texts related exclusively to the attention of students with special needs were selected, and which were temporarily published between 1990 and 2018. Thus, a corpus of 14 documents was obtained, seven of which are analysed in-depth in this article. The analysis of the texts occurred in two phases: first, from a hermeneutical distancing process (Ricoeur, 1986, 2003), and, later, from a deconstructive analysis (Derrida, 1997). Among the most relevant findings, the binarisation of inclusion is observed, reducing it to the erection of barriers of accessing and teaching, and the shifting from disciplinary logic associated to normalisation to others of self-regulation. Finally, the emergence of logics of standardised difference was observed, which leans toward a normocentrality, where otherness would be understood as threat. © 2020, Arizona State University. All rights reserved.</t>
  </si>
  <si>
    <t>10.14507/epaa.28.4338</t>
  </si>
  <si>
    <t>Muñoz Labraña, Carlos; Torres Durán, Bastián; Muñoz Grandón, Carlos; Aravena Moraga, Matías</t>
  </si>
  <si>
    <t>Percepciones de estudiantes de educación secundaria sobre los derechos de personas migrantes</t>
  </si>
  <si>
    <t>Praxis educativa</t>
  </si>
  <si>
    <t>citizenship; nationality; school; population; migration</t>
  </si>
  <si>
    <t>Abstract In this research, perceptions of high school students on the rights of migrants have been identified and described. The sample consisted of 40 students from educational establishments in Greater Concepción-Chile. The methodology used was qualitative and the speeches of the students interviewed were analyzed in depth. The results indicate that they conceive immigration as a new phenomenon that they cannot explain clearly. Their speeches are contradictory because they show solidarity with immigrants but consider that prevent access to sources of work and that they cannot have the same rights as the national population.</t>
  </si>
  <si>
    <t>10.19137/praxiseducativa-2022-260315</t>
  </si>
  <si>
    <t>Muñoz V.R.</t>
  </si>
  <si>
    <t>Racialized geographies of Afro-Caribbean migration in the Chilean digital press. From urban characterization to neighborhood threat, 2016-2021; [GEOGRAFÍAS RACIALIZADAS DE LA MIGRACIÓN AFROCARIBEÑA EN LA PRENSA DIGITAL CHILENA. DE LA CARACTERIZACIÓN URBANA A LA AMENAZA BARRIAL, 2016-2021]</t>
  </si>
  <si>
    <t>Afro-descendant; digital press; migration; territorial stigmatization</t>
  </si>
  <si>
    <t>Afro-Caribbean migration in Chile is distributed mainly in the cities of the north and center of the country. The representation of these geographies in the media speaks of supposed forms of migrant habitation, which deepen the stigmatization and stereotypes about these populations and the territories they inhabit. The descriptive inductive analysis on international migration in online media between 2016 and 2021 evidenced a shift in the representations about these groups and the sectors of their residence, which began with the sociodemographic characterization, to move on to build on this inhabiting a health alert in the context of COVID-19. In this flight, the discourses of national and local authorities were key, associating communes and housing morphologies to migrant populations, overlapping territorial and housing problems to migratory categories and nationalities. The text problematizes the use of these discourses for territorial stigmatization. © 2023, Scalabriniano Center for Migratory Studies. All rights reserved.</t>
  </si>
  <si>
    <t>10.1590/1980-85852503880006709</t>
  </si>
  <si>
    <t>Murray C.; Clapham D.</t>
  </si>
  <si>
    <t>Housing policies in Latin America: overview of the four largest economies</t>
  </si>
  <si>
    <t>International Journal of Housing Policy</t>
  </si>
  <si>
    <t>developing countries; housing; Latin America; path dependence; policy; welfare regimes</t>
  </si>
  <si>
    <t>The aim of this paper is to examine the differences and similarities in housing policies in the four Latin American countries of Argentina, Brazil, Chile and Colombia. The paper uses the welfare regime approach, modified by a recognition of path dependence, to identify a number of phases that each country has passed through. However, attention is drawn to the substantial differences in the circumstances in each country and the extent and duration of the different phases. It is concluded that it can be beneficial to use the concept of a Latin American housing regime, but that this general picture has to be used with an understanding of the path dependence caused by the particular context in the individual countries. © 2015 Taylor &amp; Francis.</t>
  </si>
  <si>
    <t>10.1080/14616718.2015.1055090</t>
  </si>
  <si>
    <t>Murray L.; Khan N.</t>
  </si>
  <si>
    <t>The im/mobilities of ‘sometimes-migrating’ for abortion: Ireland to Great Britain</t>
  </si>
  <si>
    <t>gendered mobilities; migration; Reproductive mobilities; some-times migrant</t>
  </si>
  <si>
    <t>This paper furthers the concept of im/mobilities through an investigation of the reproductive mobilities of women migrating for abortion from Ireland (north and south) to Great Britain. Where more often the focus of reproductive mobilities concerns the movement of people and matter in order to reproduce, there is less (although some) attention to movement aligned with the prevention of reproduction. We consider the variegated im/mobilities of conception not brought to birth, in the frictional movement of people, things, ideologies and imaginations in staying with and moving beyond the dichotomy of mobility and immobility. We engage in transdisciplinary dialogue between mobilities and migration studies. Hence, underlying this exploration is the concept of the ‘sometimes-migrant’, used to challenge binary oppositions between mobility and immobility, broader conceptualisations of ‘migrants’ as ‘exceptional’, and more specifically the notion of travelling for abortion as ‘abortion-tourism’. We adopt the call to focus on different incarnations of the ‘sometimes-migrant’ in the form of women travelling temporarily across national borders of intermittent porosity in order to seek care that is not available in their own country. Intersections of migration and mobilities reveal the ways women are im/mobilised through geopolitical and cultural practices at local and global scales. © 2020, © 2020 Informa UK Limited, trading as Taylor &amp; Francis Group.</t>
  </si>
  <si>
    <t>10.1080/17450101.2020.1730637</t>
  </si>
  <si>
    <t>Nahuelhual L.; Jullian C.; Von Below J.; Laterra P.</t>
  </si>
  <si>
    <t>The role of land inequality in the poverty-forest loss nexus patterns: A case study from Chile</t>
  </si>
  <si>
    <t>Land reforms; Neoliberal conservation; Neoliberal forest policies; Rural poverty alleviation</t>
  </si>
  <si>
    <t>The predominant school of thought argues that poverty is a major cause of deforestation, but several studies have begun to contest this assumption by putting forward that a complex web of factors influences this connection and that multi-patterned nexuses can exist. We explore these nexuses taking southern Chile as a case study and using a Path Analysis for modelling. We relied on secondary data at the land property and municipality levels to construct the exogenous (land inequality, farm and forestry subsidies, and firewood consumption) and endogenous variables of the model (poverty, native forest loss, non-native tree afforestation, ecosystem services supply), which runs at the municipality scale (n = 147). We obtained a very good model adjustment as indicated by common goodness of fit measures. The model's path coefficients showed that land inequality (measured with the Gini coefficient) had a positive direct effect on poverty and forest loss. In turn, poverty had a negative direct effect on forest loss, whereas forest loss had a total negative effect on poverty. Thus, poverty per se does not cause forest loss or vice versa, and rather than a single poverty-forest loss nexus, “many-patterned” nexuses arise. We discus three of these patterns, namely i) development that aggravates poverty, ii) land inequality that aggravates forest loss and poverty, and iii) land inequality that “helps” the cause of forest conservation. These results suggest that policies that seek to solve poverty (e.g., farm subsidies) will not necessarily help prevent forest loss, but neither will neoliberal forest and conservation policies alone. As the SDGs state, solving inequality seems to be a necessary condition for both alleviating poverty and ensuring forest conservation. © 2023 Elsevier Ltd</t>
  </si>
  <si>
    <t>10.1016/j.jrurstud.2023.103192</t>
  </si>
  <si>
    <t>Nahuelpan Sánchez, Karla</t>
  </si>
  <si>
    <t>Redefinición identitaria en migrantes transnacionales: el caso de los exiliados chilenos residentes en Vancouver, Canadá</t>
  </si>
  <si>
    <t>identity; transnationalism; exile</t>
  </si>
  <si>
    <t>One of the consequences of the military dictatorship in Chile was the forced migration of thousands of exiles, which resulted in the formation of Chilean communities in different host countries. Forced migration has several effects in the immigrant, being the most significant the identity redefinition. When citizens are forced to leave their country, they seek ways to keep connected with it, this mechanism are memory and symbols, wich come into contact in different social spaces. The overall objective is then to analyze the identity redefinition of Chilean transnational immigrants living in Vancouver, Canada, who were displaced by the military dictatorship of Chile in 1973-1990. We will understand transnationalism as a relationship that establishes a group of immigrants to their place of origin, where the influence of different symbols that they identify will guide them to represent their sense of belonging. Following the same perspective, the pertinent definition of identity for this research is that it is understood as a subjective construction through symbols and socialization, which can be modified or readapted by living situations of the immigrants.</t>
  </si>
  <si>
    <t>Nardone M.</t>
  </si>
  <si>
    <t>Inter-organisational cooperation in resettlement programmes: A tripartite approach</t>
  </si>
  <si>
    <t>Integration; Inter-organisational cooperation; Refugee resettlement; South America</t>
  </si>
  <si>
    <t>This field-level empirical study explores the practical possibilities of cooperation between international organisations, governments, and non-governmental organisations within resettlement programmes supported by the United Nations High Commissioner for Refugees in “emerging” resettlement countries of South America. The focus is on the implementation of the Latin American Solidarity Resettlement Programme, which was adopted by some South American countries to resettle refugees (mostly of Colombian origin) coming from countries of first asylum in the region. In the present work, the challenges of translating this tripartite cooperation from policy into practice are analysed. This study offers insights on resettlement by looking at how inter-organisational dynamics in Argentina, Chile, and Uruguay worked on the ground, and considering the viewpoints of the three main entities involved. The findings suggest that the efforts in a joint implementation of the Programme have often resulted in relevant differences between policy and practice. This study focuses mainly in selection criteria and the responsibility towards integration, which constrained possibly broader achievements in protection and integration in these emerging resettlement countries. © Author(s) [2019]. All rights reserved.</t>
  </si>
  <si>
    <t>10.1093/rsq/hdz002</t>
  </si>
  <si>
    <t>Näre L.; Nordberg C.</t>
  </si>
  <si>
    <t>Neoliberal postcolonialism in the media: Constructing Filipino nurse subjects in Finland</t>
  </si>
  <si>
    <t>European Journal of Cultural Studies</t>
  </si>
  <si>
    <t>Filipino nurses; Finland; labour migration; media; migration; neoliberalism; nurse recruitment; Postcolonialism; the Philippines</t>
  </si>
  <si>
    <t>In 2007, a private recruitment agency started recruiting nurses from the Philippines to private elderly care homes and to operation wards in Finland. Although less than a hundred nurses have been recruited to Finland, the recruitment has received extensive media attention. Applying discourse analysis to the media data, the article analyzes the ways in which Filipino subjects were constructed by the Finnish media. We distinguish three types of categories relating to Filipino nurses as ‘good migrant/suspect worker’, ‘global commodity’ and as a ‘colonized subject’. The article argues that the discourse depicting Filipino subjects is a form of neoliberal postcolonialism, which combines a global geography of colonial power with a discourse of individualized economic risks and responsibilities. © 2015, © The Author(s) 2015.</t>
  </si>
  <si>
    <t>10.1177/1367549415585557</t>
  </si>
  <si>
    <t>Navarrete B.</t>
  </si>
  <si>
    <t>Factor explaining a migratory wave: The case of haití; [Factores explicativos de una oleada migratoria: El caso de haití]</t>
  </si>
  <si>
    <t>Chile; Factors explaining migration; Haiti; Migratory wave</t>
  </si>
  <si>
    <t>The objective of this article is to identify and analyze the factors leading to the expulsion of Haitians from their country of origin toward different latitudes on the American continent, in particular, Chile. Methodologically, it tests the Push and Pull theory, which considers many factors for expulsion from the country of origin, such as attraction in the receiving county; information collection and analysis techniques and a review of academic indexed literature and press reports are utilized. The main motives identified for the emigration of Haitian citizens are the persistent political and economic instability of the country, fruit of a predatory elite little prone to development, added to increasing environmental degradation that makes it impossible to give food security to its citizens, as well as the crises that befell the country after the 2010 earthquake. Thus, it is possible to conclude that the factors expressed herein are interrelated and reinforce each other mutually, generating a context of multidimensional crisis that, in the last instance, justifies the decision of the Haitian to emigrate from his country of origin and establish himself in another country, as is the case with the massive arrival of Haitians in Chile, a tendency that continues to increase.</t>
  </si>
  <si>
    <t>Navarrete Escobedo D.</t>
  </si>
  <si>
    <t>Foreigners as gentrifiers and tourists in a Mexican historic district</t>
  </si>
  <si>
    <t>gentrification; heritage; Latin America; migration; tourism</t>
  </si>
  <si>
    <t>Transnational gentrification has become a key element of urban and sociocultural transformations in several Latin American countries. New urban policies and transnational real estate markets adapt the city in order to respond to the expectations of transnational middle classes. This paper explores the case of San Miguel de Allende in Mexico. Methodologically, it adopts a qualitative approach and analyses two of the most important manifestations of transnational gentrification: lifestyle migration and luxury tourism. Historical files on protected buildings in San Miguel de Allende’s historic centre were used to observe functional alterations. This is supplemented with other statistical data (including the spatial pattern of Airbnb rentals) and direct observations of public spaces. I propose that transnational gentrification leads to a heritage-led transnationalisation of real estate, evidenced by luxury housing, boutique hotels, art galleries and other high culture spaces that cater to higher-income lifestyle migrants and tourists. As a result, the new class of owners and users changes the place’s identity, which has implications for lower-income groups’ right to the city. The process in San Miguel de Allende is analogous to processes in cities such as London, New York or Paris, where notions of heritage urbanism have also helped transnationalise local real estate markets. However, it also evinces other processes that are more difficult to appreciate in the Global North (growing rent gaps, real estate companies’ aggressive pursuit of gentrification and deep historical inequalities that are exacerbated by heritage-led gentrification). © Urban Studies Journal Limited 2020.</t>
  </si>
  <si>
    <t>10.1177/0042098019896532</t>
  </si>
  <si>
    <t>Navarrete Yánez, Bernardo</t>
  </si>
  <si>
    <t>La inmigración en la agenda de seguridad en Chile. Las nuevas amenazas en los libros de la defensa nacional</t>
  </si>
  <si>
    <t>Estudios internacionales (Santiago)</t>
  </si>
  <si>
    <t>Immigration; Book of National Defense; New Threats; Chile</t>
  </si>
  <si>
    <t>Abstract: International migration are considered new threats in the Books of the Defense of Chile, diagnosis influenced by the international context and the mainstream of literature on Security and Defense, reorienting the sectorial agenda and providing fresh content to migratory flows directed to the country, being characterized by the risks to national and societal security, specifically by conflicts between the native and foreign population, a threat to national culture and penetration of transnational illicit networks, such as drug dealing and trafficking in persons. Methodologically we used the case study method; historical content analysis of print media; focalized synthesis of specialized literature and the application of a semi-structured questionnaire to key informants.</t>
  </si>
  <si>
    <t>193</t>
  </si>
  <si>
    <t>10.5354/0719-3769.54137</t>
  </si>
  <si>
    <t>Navarrete Yáñez B.</t>
  </si>
  <si>
    <t>Perceptions of immigration in Chile. Lessons for immigration policy; [Percepciones sobre inmigración en Chile: Leccionespara una política migratoria]</t>
  </si>
  <si>
    <t>Chile; Cross-border migration; Immigration policy; Integration models; Telephone survey</t>
  </si>
  <si>
    <t>The purpose of this paper is to study what Chileans think about the growing immigration in their country. To this end, a telephone survey was applied to 1 110 citizens distributed throughout the country. The main findings indicate that citizens want to protect the cultural diversity that comes with immigration, but this occurs mostly at the level of individuals more than at a group level, similar to the model in the United States. Nevertheless, there is little clarity regarding the type of public policy that should be implemented in the country. Any such policy applied will face the challenge of combining weak multiculturalism with a state committed to protect social cohesion and promote the recognition of rights. Given that a telephone survey does not homogeneously cover all the social groups and segments of the national population, this limitation should be taken into account. © 2017, El Colegio de la Frontiera Norte. All rights reserved.</t>
  </si>
  <si>
    <t>Navarrete-Hernández P.; Alford M.; Toro F.</t>
  </si>
  <si>
    <t>Inclusive informal-to-informal trade: the poverty alleviation potential of street vendors’ trade networks in Santiago de Chile</t>
  </si>
  <si>
    <t>Third World Quarterly</t>
  </si>
  <si>
    <t>Inclusive economy; informal linkages; poverty; street vendors</t>
  </si>
  <si>
    <t>The economic inclusion benefits of trade integration between formal and informal markets constitute an increasingly important debate in development studies, especially regarding poverty reduction. Recent international development efforts focus on strengthening informal-to-formal (I2F) links as a win-win developmental strategy to eradicate poverty, while building upon informal-to-informal (I2I) trade relations are seen to preserve poverty. Nevertheless, research comparing these approaches is scarce. This article compares street market vendors’ integration into I2F and I2I trading links, assessing their associated economic benefits and market power dynamics. Using mixed methods, we empirically test theoretical hypotheses on a representative sample of Santiago de Chile’s street market vendors and follow the trade networks of branded and unbranded street market products through 50 in-depth interviews. The results suggest that street vendors’ I2I trade can constitute a highly ­specialised, structured and nationwide trade network that can rival the poverty alleviation potential of I2F trade networks. Compared with I2F trade links, I2I networks reduce opportunities for exploitation and allow street vendors to obtain higher income. Consequently, building a more robust articulation of street vendors and informal firms into trade ­networks merits more attention in development studies as a potential alternative to I2F strategies when fostering street vendors’ economic inclusion. © 2023 The Author(s). Published by Informa UK Limited, trading as Taylor &amp; Francis Group.</t>
  </si>
  <si>
    <t>10.1080/01436597.2023.2208060</t>
  </si>
  <si>
    <t>Navarrete-Hernandez P.; Navarrete-Hernandez N.</t>
  </si>
  <si>
    <t>Unleashing Waste-Pickers’ Potential: Supporting Recycling Cooperatives in Santiago de Chile</t>
  </si>
  <si>
    <t>co-production; informal economy; recycling; Santiago; waste management; waste pickers</t>
  </si>
  <si>
    <t>The informal economy currently provides two out of three jobs worldwide, with waste-picking activities providing employment for millions of the poorest of society. Moreover, waste-picking could provide a sustainable solution for solving the waste management crisis that affects the 3 billion people lacking access to waste services. Governmental policies toward waste-pickers in particular, and the informal economy in general, have been fundamentally based on four policy approaches: (1) dualist and voluntarist, which proposes repressive policies against waste-picker activity and the expansion of formal solid waste management systems; (2) structuralist, which argues for weak supporting policies aimed at reinforcing waste-picker associations; (3) legalist, which promotes the competition of waste-picking with other recycling alternatives without government intervention; and (4) co-production, which supports waste-picking with local policies as a means of enhancing waste-pickers’ productivity. Both qualitative, and particularly quantitative evidence testing the impact of these four approaches is scarce. In this paper, we attempt to fill this gap in the literature by operationalizing concepts, building a waste-picker sustainable performance index, and estimating the impacts of these four competing policy approaches. An exploratory sequential design method is used to analyze data: first, a thematic analysis to examine 40 in-depth interviews, and then multiple linear regressions to analyze a census survey of 100 waste-pickers in four cooperatives in Santiago de Chile. Our empirical results suggest a positive association between the level of government support and waste-pickers’ sustainable performance. Consequently, further positive government intervention, particularly in supporting a stronger structural organization for the waste-picker recycling system, is advocated as the primary policy recommendation of this paper. © 2017 Elsevier Ltd</t>
  </si>
  <si>
    <t>10.1016/j.worlddev.2017.08.016</t>
  </si>
  <si>
    <t>Navarro-Conticello J.</t>
  </si>
  <si>
    <t>Opportunities, difficulties and required capacities: Social imaginaries of Spain as a migratory destination in the discourse of the Argentine online press; [Oportunidades, dificultades y capacidades necesarias: Imaginarios sociales de España como destino migratorio en el discurso de la prensa online argentina]</t>
  </si>
  <si>
    <t>Argentina; journalistic discourse; migration; online press; social imaginaries; Spain</t>
  </si>
  <si>
    <t>The aim is to critically analyze the social imaginaries of Spain as a destination for Argentine migration in the discourse used by two of the country’s main online newspapers. Critical Discourse Analysis premises were applied to 20 journalistic articles published in Clarin.com and LaNacion.com.ar between April 2021 and April 2022 on Argentine migration to Spain. The results show that both reproduce social imaginaries of Spain as a land of opportunities and difficulties, which demands that Argentines have certain skills in order to migrate. © 2022 Grupo Editor Yocavil. All rights reserved.</t>
  </si>
  <si>
    <t>10.19137/phs-2022-290203</t>
  </si>
  <si>
    <t>Navarro-Conticello J.; Moyano-Díaz E.</t>
  </si>
  <si>
    <t>Cultural adaptation, perceived discrimination, and well-being of South American migrants in Chile; [Adaptación cultural, discriminación percibida y bienestar de migrantes sudamericanos en Chile]</t>
  </si>
  <si>
    <t>Chile; cultural adaptation; intermediate cities; international migration; perceived discrimination; well-being</t>
  </si>
  <si>
    <t>Immigration has multiplied almost sixfold in the last thirty years in Chile; nevertheless, there is little knowledge about its strategies for cultural adaptation, perceived discrimination, and well-being, three dimensions that in this article are measured in an intermediate city (Talca, Chile), using a non-probability sample of South American migrants made up of 255 adults, matched by gender, most of which are Venezuelans, with a high educational level, bicultural (92.4%), and with a high well-being index (M=8.56 out of 10, SD=1.21). The results indicate that 41.1% perceive high discrimination, and that there is a significant negative relationship between perceived discrimination and both the tendency to biculturalism and well-being. These and other results are discussed. © 2023 Flacso Mexico. All rights reserved.</t>
  </si>
  <si>
    <t>10.18504/pl3161-013-2023</t>
  </si>
  <si>
    <t>NAZAL, Esteban,; LÓPEZ, Eleonora,; Magalhaes, Lina,</t>
  </si>
  <si>
    <t>GÉNERO, SEXUALIDAD Y RELACIONES AFECTIVAS DE MUJERES AYMARA BOLIVIANAS EN ARICA (CHILE)</t>
  </si>
  <si>
    <t>Papeles de trabajo - Centro de Estudios Interdisciplinarios en Etnolingüística y Antropología Socio-Cultural</t>
  </si>
  <si>
    <t>patriarchy; migration; border; ethnography; Andean Triple-border.</t>
  </si>
  <si>
    <t>Abstract: This paperaddresses the permanence and resistance to gender mandates in four dimensions of the life of migrant Bolivianwomen in Arica (Chile): sexuality, pregnancy, affective relationships and sexual division of work in the home. The empirical data analyzed come from the ethnographicworkcarried out in 2019 in the city of Arica and in the Azapa Valley. Weconcludethat cross-border migration represents new possibilities for femaleagency and for inhabitinggender and kinshipsystems.</t>
  </si>
  <si>
    <t>Nazer Ahumada R.; Llorca-Jaña M.</t>
  </si>
  <si>
    <t>Immigration and Entrepreneurship in Chile during the Nineteenth and Twentieth Centuries</t>
  </si>
  <si>
    <t>Chile; entrepreneurship; Immigration</t>
  </si>
  <si>
    <t>Based on census records (both of total population and commercial-industrial), and an extensive review and synthesis of the secondary literature, this article analyses the importance and impact of immigration on the economic development of Chile, in particular on entrepreneurship and the changing composition of the main business groups of the country. We provide a sketch of the main entrepreneurs among the immigrant groups, according to countries of origin and sectors in which they operated, who emerged as influential modern entrepreneurs in the country during the nineteenth and twentieth centuries. We also show how some of these foreign entrepreneurs (and their descendants) contributed to the renewal of the economic elites of Chile during these two centuries, by focussing on some case studies of the leading members of the most successful family business groups. © 2022 Informa UK Limited, trading as Taylor &amp; Francis Group.</t>
  </si>
  <si>
    <t>10.1080/02619288.2022.2065988</t>
  </si>
  <si>
    <t>Ndlovu D.S.</t>
  </si>
  <si>
    <t>Claiming Space: A Case Study of Ndebele Zimbabwean Migrants’ Music in Johannesburg; [Reclamando el espacio: Un estudio de caso la música de los Ndebele Zimbabwean emigrantes]</t>
  </si>
  <si>
    <t>migration; music; space; violence; xenophobia</t>
  </si>
  <si>
    <t>Global technological advancements in transport and communication have led to a compression of time and space, but some populations are confined to their geographic regions. This paper uses a qualitative approach to conduct an intersectional analysis of music by Zimbabwean migrants in Johannesburg South Africa to explore how migrants respond to this phenomenon. It presents the ways in which the migrants construct identities and spatial imaginaries as a form of claiming space in Johannesburg and globally. Xenophobia in South Africa and the migrants’ memories of the Zimbabwean State violence necessitates the narration of identities and spatial imaginaries where the migrants can claim belonging. The paper argues that even where the identities imagined do not carry currency in the contemporary world. They work to critique the current racialised global hierarchy that does not include the migrants in its power geometry. © 2023, Universidad de Chile, Instituto de la Vivienda. All rights reserved.</t>
  </si>
  <si>
    <t>10.5354/0718-8358.2023.69912</t>
  </si>
  <si>
    <t>Neilson J.; Shonk F.</t>
  </si>
  <si>
    <t>Chained to Development? Livelihoods and global value chains in the coffee-producing Toraja region of Indonesia</t>
  </si>
  <si>
    <t>Australian Geographer</t>
  </si>
  <si>
    <t>coffee; global value chains; Indonesia; Livelihoods; migration; Toraja</t>
  </si>
  <si>
    <t>A popular rural development strategy in recent years has been through the adoption of what has been widely called a 'value chain approach', where improved linkages between small producers in underdeveloped rural communities and 'lead firms' constitute the foundations for development interventions. Whilst the global value-chain framework can deliver insights into the broad structural processes shaping livelihood possibilities, the adoption of value chains as a development strategy tends to disregard the complexity of smallholder livelihoods that shape poverty alleviation pathways in different contexts. The relationships between global value chains, development interventions, and rural livelihoods are explored in this article through a case study of smallholder coffee farming in the Toraja region of Indonesia. In this case, value-chain interventions in the coffee sector are unlikely to significantly contribute to improved rural welfare due to the diversified reality of local livelihoods, the nuances of how coffee production is embedded within Torajan culture and economy, and excellent prevailing market opportunities. The livelihood framework, therefore, provides an important corrective for the sometimes excessive optimism presented by advocates of a value-chain approach to rural development. © 2014 Geographical Society of New South Wales Inc.</t>
  </si>
  <si>
    <t>10.1080/00049182.2014.929998</t>
  </si>
  <si>
    <t>Nel E.; Stevenson T.</t>
  </si>
  <si>
    <t>Demographic and Economic Change in Small Towns in New Zealand and the Responses to Marginalisation</t>
  </si>
  <si>
    <t>Perspectives on Geographical Marginality</t>
  </si>
  <si>
    <t>Community initiatives; Migration; Neoliberalism; New Zealand; Small towns</t>
  </si>
  <si>
    <t>The chapter traces the selective growth but more common reality of demographic and economic decline of small centres across New Zealand which have suffered from outmigration, loss of state funding, and changing market opportunities. The impact of neo-liberalism and the associated loss of state support has been felt acutely in many settlements. In general terms towns which developed from the exploitation of primary products – timber and minerals, and manufacturing are declining, while towns which rely on tourism or are home to commuters are growing rapidly; while rural service towns are in a static position. Since less public money is available for educational and health services, such small settlements risk disappearing from the map. Only towns developing strong local policies to promote local growth and training and to remain attractive for potential immigrants stand a chance of survival. Community initiatives have so far proven valuable to save small towns from total decline, but not all places have the local capacity to initiate such action. © 2019, Springer Nature Switzerland AG.</t>
  </si>
  <si>
    <t>10.1007/978-3-030-04393-3_10</t>
  </si>
  <si>
    <t>Nengomasha C.; Magidimisha H.H.</t>
  </si>
  <si>
    <t>Uneven Development and Conflict in Southern Africa: Interrogating the Patterns and Accumulation Processes</t>
  </si>
  <si>
    <t>Advances in African Economic, Social and Political Development</t>
  </si>
  <si>
    <t>Conflict; Economic growth; Migration; Poverty; Southern Africa; Uneven development</t>
  </si>
  <si>
    <t>Over the past two decades, Southern Africa has witnessed economic growth powered by relative political stability. Development has occurred at varying pace in different parts of the region on the foundation of unequal share of resources, opportunities and benefits. In most cases, politically and economically privileged elites are reaping the economic benefits whilst exploiting and excluding millions of the disenfranchised poor. This paper interrogates development patterns, mechanisms of resource allocation and the conflicts associated with uneven geographies of income and poverty. This paper draws exclusively from secondary data on urban, economic and social development between 2000 and 2015 in South Africa and Zimbabwe. Observations show that more and more poor Africans are forced to migrate to better performing economies as a sheer survival strategy. The paper concludes by discussing why the competition for opportunities in receiving countries has witnessed negative responses characterised by xenophobic attacks on foreigners in some instances. In doing so, it highlights the difficulties that governments in southern African face in reconciling the redistributive priorities of the urban poor with strategies to maintain long-term economic and political stability. © 2018, Springer International Publishing AG.</t>
  </si>
  <si>
    <t>10.1007/978-3-319-59235-0_3</t>
  </si>
  <si>
    <t>Neudoerfer, Pablo; Dresdner, Jorge</t>
  </si>
  <si>
    <t>Does religious affiliation affect migration?</t>
  </si>
  <si>
    <t>PAPERS IN REGIONAL SCIENCE</t>
  </si>
  <si>
    <t>Migration decisions; social networks; religion</t>
  </si>
  <si>
    <t>We test whether social networks at the origin, measured by religious affiliation, affect out-migration. The basic idea is that a social capital loss is attached to the decision to out-migrate, and said loss increases migration costs because benefits received from the local network at the origin disappear. To test this hypothesis, we estimated conditional and mixed logit models for the decision to out-migrate. The results supported the hypothesis: members from religious organizations with strong intra-community and weak intercommunity ties tended to out-migrate less than others. This result was highly significant and robust to model specification and estimation methods.</t>
  </si>
  <si>
    <t>10.1111/pirs.12016</t>
  </si>
  <si>
    <t>Nguyen M.T.N.; Locke C.</t>
  </si>
  <si>
    <t>Rural-urban migration in Vietnam and China: gendered householding, production of space and the state</t>
  </si>
  <si>
    <t>China; householding; migration; rural-urban; state; Vietnam</t>
  </si>
  <si>
    <t>The transition from state socialism to market socialism in Vietnam and China has been characterized by unprecedented rural-urban migration. We argue that this migration is integral rather than incidental to the gendered reproduction of state and society. A review of the emerging literature on trans-local householding explores the process whereby the reflexive engagement of the state and the household remakes rural-urban differentiation in ways that are deeply gendered and classed. As such, state regulation and control of migrants are part of a process of reconfiguring state-society relations in which the production of space and the symbolic valuation of ruralness and urbanness have become a central trope. © 2014, © 2014 Taylor &amp; Francis.</t>
  </si>
  <si>
    <t>10.1080/03066150.2014.925884</t>
  </si>
  <si>
    <t>Nicolás Gissi B.; Eduardo Andrade G.</t>
  </si>
  <si>
    <t>Migration, Social Incorporation, and Rooting: A Comparative Study of Haitians and Dominicans Residing in Santiago de Chile (2010-2021); [Migración, incorporación social y arraigo: estudio comparado de haitianos/ as y dominicanos/as residentes en Santiago de Chile (2010-2021)]</t>
  </si>
  <si>
    <t>Dominicans; Haitians; Migration; Rooting; Social Incorporation; Socio-economic Strata</t>
  </si>
  <si>
    <t>The purpose of this article is to understand the processes of incorporation and settlement of Haitian and Dominican migrants residing in Santiago of Chile, who arrived during the last decade in the context of South-South mobility, particularly in Latin America and the Caribbean. In this study, we present the results of qualitative research carried out between 2017 and 2020 according to two main issues: 1) Incorporation or social exclusion; and 2) Rooting or return. Our study showed that, amongst Haitians, there is a memory of national crisis, insecurity and lack of opportunities in their home country that makes sense for them to stay in Chile. Nevertheless, experiences of discrimination and barriers to incorporation have made them consider to return to Haiti, which increased in 2020-2021. In contrast, Dominicans have a feeling of living in a state of transience that tends to generate ambivalence about whether or not to settle in Chile, despite the fact that they have experienced a better incorporation than Haitians, with clear differences in resources, consumption possibilities and future expectations according to socio-economic stratum among Dominicans. © 2022, Universidad Austral de Chile. All rights reserved.</t>
  </si>
  <si>
    <t>10.4206/rev.austral.cienc.soc.2022.n43-14</t>
  </si>
  <si>
    <t>Nieves Rico, Maria; Leiva-Gomez, Sandra</t>
  </si>
  <si>
    <t>MIGRANT DOMESTIC WORK IN CHILE AND COVID-19. BOLIVIAN CAREGIVERS ON WASTE GROUND</t>
  </si>
  <si>
    <t>Migration; Care; Domestic work; Gender</t>
  </si>
  <si>
    <t>Migrant domestic work is an alternative to the care crisis in many countries. However, paid domestic work has not been adequately relieved as a care provider agent, nor are there public policies that grant it sufficient protection and rights. The current pandemic exposed such shortcomings. The article conceptualizes as a syndemic the interrelationships between the care crisis, the health crisis and poverty, which exacerbate the negative consequences of COVID-19 on women. Through in-depth interviews and documentary review, the text reflects on domestic service as care work and analyses Bolivian domestic workers in Chile who carry out circular migration and their vulnerability to the pandemic, as they were stranded on waste ground with the closure of the Chilean Bolivian border. The article ends with proposals for public care policies for migrant domestic workers, with a human rights-based approach and from a gender perspective.</t>
  </si>
  <si>
    <t>Noemi, Cristian</t>
  </si>
  <si>
    <t>Discursive-Argumentative Texture of the Migratory Ecology Towards Chile`</t>
  </si>
  <si>
    <t>LOGOS-REVISTA DE LINGUISTICA FILOSOFIA Y LITERATURA</t>
  </si>
  <si>
    <t>migration; argumentation; discourse; conflict; ecology</t>
  </si>
  <si>
    <t>In recent years there has been an unprecedented migratory process to Chile, a situation that has modified the social ecology to some extent, through the introduction of speeches from various dialect origins. In this line, the work has described the argumentative discursive behavior of the ecology of Colombian, Peruvian and Venezuelan immigrants from the Metropolitan Region and the IV Region Coquimbo, Chile (Central North Zone). From a structured qualitative interview, 160 participants expressed their point of view regarding a situation of self-involvement (the Covid-19 pandemic); they immediately generated justifying arguments for the initial point of view; and finally, they generated the conclusion (peroratio) in the form of a speech sequence. The analysis allowed us to observe that the symptomatic reasoning scheme associated with the generation of ad misericordiam and identity arguments specifically characterizes the discourse of Colombian, Peruvian and Venezuelan speakers. On the other hand, it could be observed that the use of the instrumental schema in the form of a causal argument seems to be the broadest way of conflict resolution for this specific discursive ecology.</t>
  </si>
  <si>
    <t>10.15443/RL3214</t>
  </si>
  <si>
    <t>Norambuena C.; Navarrete B.; Matamoros R.</t>
  </si>
  <si>
    <t>Between continuities and break ups, it is better continuity. The immigration policies since the beginning of the XXth century; [Entre continuidades y rupturas, mejor la continuidad. Política migratoria chilena desde comienzo de siglo XX]</t>
  </si>
  <si>
    <t>Chile; Immigration legislation; Institutions; Trajectory’s dependence</t>
  </si>
  <si>
    <t>The path dependence model makes possible the formulation of questions about continuities and or changes in the Chilean migration rules from the XXth century until the present. Through case studies and the follow-up of processes it is possible to follow up the study of the legislation about migration both from a ideographic-historical and nomothetic-politological perspectives. The progress in policy making in political terms has had a varied trajectory, mostly determined by particular junctures which never turned to be critical ones. On that score, the latest legislation proposed in 2013 and 2017 did not achieve much in terms of changing the status quo. This is a reality that is part of a constant pattern that could be seen as from 1905 with the passing of the Regulations on Free Immigration. © 2018, Universidad Austral de Chile. All rights reserved.</t>
  </si>
  <si>
    <t>10.4206/rev.austral.cienc.soc.2018.n34-13</t>
  </si>
  <si>
    <t>Norambuena Carrasco, Carmen</t>
  </si>
  <si>
    <t>AMENAZAS SIN FRONTERAS: NUEVAS PERIFERIAS EN LA CIRCULACIÓN DE PERSONAS</t>
  </si>
  <si>
    <t>Cuadernos de historia (Santiago)</t>
  </si>
  <si>
    <t>migration; border migration; narcomigrantes</t>
  </si>
  <si>
    <t>This article deals with migration in a triple perspective: (I) the acceleration of the moving processes of population regarding the economic globalization, and under the concept of human security; (II) the historical relevance of the population moving processes in bordering regions of Chile's neighbor countries; (III) the analysis of the norms about offering to leave Chile to inmates accused of drug trafficking, who are citizens of neighbor countries.</t>
  </si>
  <si>
    <t>39</t>
  </si>
  <si>
    <t>10.4067/S0719-12432013000200006</t>
  </si>
  <si>
    <t>Norambuena Carrasco, Carmen; Duhalde Valenzuela, Byron</t>
  </si>
  <si>
    <t>Hukou, register of households in China: challenges of internal migration (1958-2018)</t>
  </si>
  <si>
    <t>internal migration; China; hukou</t>
  </si>
  <si>
    <t>Internal migration in China became a demographic problem in the early days of the People's Republic due to the inequality between rural and urban populations. To exercise more effective control, the government introduced the hukou system in 1958, which linked people to their place of birth, thus deepening the inequalities between the two areas. Sixty years after its implementation, this system has undergone various reforms, although its purpose remains the same. In the 21st century, the programme's objective is to control migration from the rural sector to the city so as not to overpopulate the country's megacities, maintaining the balance between internal migration and economic growth. This article offers a historical examination of institutional characteristics and a review of official documentation and the domestic press. The authors reflect on how this approach continues the institutionalised limitation of internal migration movements in the country, despite the social and economic transformations of China, and reforms to the system in the last decade.</t>
  </si>
  <si>
    <t>10.4067/S0719-09482021000100152</t>
  </si>
  <si>
    <t>Noy S.; Voorend K.</t>
  </si>
  <si>
    <t>Social rights and migrant realities: Migration policy reform and migrants’ access to health care in costa rica, argentina, and chile</t>
  </si>
  <si>
    <t>Access to health; Argentina; Chile; Citizenship rights; Costa Rica; Social rights</t>
  </si>
  <si>
    <t>Immigration poses a significant challenge to states’ existing social protection systems, especially in developing countries that are already struggling to provide social services for their citizens. In particular, immigration produces a tension between citizenship rights-those extended only to citizens, and social rights-rights extended by the state to others within their national territory. Immigration raises questions not only about the rights and access of migrants to health and other social services but also the level and quality of provisions to citizens. We draw on literatures on welfare regimes in Latin America, welfare magnets, and the legitimacy of social rights to examine the nexus of migration and health care policy in Costa Rica, Argentina, and Chile-three countries that have recently pursued immigration reform. We argue that variation in the extension of immigrants’ social rights to health is explained by the interaction of existing migration and social policies, the nature of the health care system in each country, and, in some cases, international and regional norms. © Springer Science+Business Media New York 2016.</t>
  </si>
  <si>
    <t>10.1007/s12134-015-0416-2</t>
  </si>
  <si>
    <t>Noyori-Corbett C.; Moxley D.P.</t>
  </si>
  <si>
    <t>Inequality of women as a factor influencing migration from countries of origin to the United States and its implications for understanding human trafficking</t>
  </si>
  <si>
    <t>International Social Work</t>
  </si>
  <si>
    <t>Feminization of migration; gender inequality; globalization; human trafficking; migration</t>
  </si>
  <si>
    <t>The authors analyze forces influencing female migration from three countries to the United States. A principal factor for women from two southern countries involves the necessity of working in the United States so that women can remit money to their families, while migration for women in the northern case involves the search for a more liberal culture in which they can fulfill aspirations, achieve social mobility, and enjoy a better status than what they experienced in their home countries. The authors posit a theoretical framework of how migration of vulnerable women can result in their entrapment within networks of human trafficking. © 2015, © The Author(s) 2015.</t>
  </si>
  <si>
    <t>10.1177/0020872815580047</t>
  </si>
  <si>
    <t>Núñez C.M.V.; Hernández S.S.; Alarcón A.H.</t>
  </si>
  <si>
    <t>Collective occupations and nature: Impacts of the coloniality of nature on rural and fishing communities in Chile</t>
  </si>
  <si>
    <t>Collective occupations; Coloniality of nature; Extractivism; Occupational science</t>
  </si>
  <si>
    <t>This manuscript is a reflection about existing relationships among the domination processes of capitalism/colonialism/patriarchy and two collective occupations that take place in the Bio Bio Region, Chile. The first of these occupations is artisanal fishing in Tumbes Cove and the second is the harvesting of medicinal plants in the locality of Manco. Specifically, an attempt is made to discuss the impacts of the coloniality of nature and the actual possibilities for resistance provided by these collective occupations. For this purpose, a desk research with a decolonial perspective was conducted, using as analytical axes the categories of extractivism, technologization, and scientification, which correspond to the domination mechanisms of nature. The findings suggest that collective occupations are versatile, as in some cases this capacity produces decomposition and, in others, a naïve re-existence. The powers and mechanisms triggered by these responses on different collective occupations is a field that needs further study in order to formulate critical and transformative knowledge in occupational science, as well as the possibility of creating counterhegemonic practices for communities to resist the power exerted by domination processes. This article aims to enhance the relationship among occupations and nature, as well as the idea that collective occupations are forms of resistance and re-existence facing patriarchal-colonial-capitalism, thus contributing to decolonizing practices informed by occupational science. © 2021 The Journal of Occupational Science Incorporated.</t>
  </si>
  <si>
    <t>10.1080/14427591.2021.1880264</t>
  </si>
  <si>
    <t>Núñez-Muñoz, Carmen Gloria; Peña-Ochoa, Mónica; González-Niculcar, Bryan; Ascorra-Costa, Paula</t>
  </si>
  <si>
    <t>Una mirada desde la inclusión al Programa de Integración Escolar (PIE) en escuelas rurales chilenas: un análisis de casos</t>
  </si>
  <si>
    <t>rural schools; inclusive education; rural education; educational policy; case studies</t>
  </si>
  <si>
    <t>Abstract The School Inclusion Program (SIP) Is a school Inclusion policy that operates under [he principle of special grants given to children with special educational needs. Rura schools have also been able to choose to be part of sip. This article presents an action research that sought to promote the inclusive practices of rural schools. Information was collected in 6 schools of Chile, through interviews and workshops with members of the school community. We found three ways to approach sip, two of them from sip schools and an approach that encompasses schools without sip. The three positions question the program In different ways, while only In one of them sip seems to be an accepted program and coherent with school practices. It concludes by reflecting on the value of sip and the problem of the migration of urban " sip children" to rural schools.</t>
  </si>
  <si>
    <t>79</t>
  </si>
  <si>
    <t>10.17227/rce.num79-9725</t>
  </si>
  <si>
    <t>Núñez, Paula Gabriela; Barelli, Ana Inés</t>
  </si>
  <si>
    <t>Marcas urbanas y sentidos sociales en disputa. San Carlos de Bariloche,Argentina 1966-1983</t>
  </si>
  <si>
    <t>HiSTOReLo. Revista de Historia Regional y Local</t>
  </si>
  <si>
    <t>symbolic urbanization; xenophobia; tourism; religion; San Carlos de Bariloche</t>
  </si>
  <si>
    <t>San Carlos de Bariloche is the main tourist town in the Argentinean Patagonia. Its demographic growth has been nurtured by national and international migrations, the most important influence of the foreign population is from Latin-American. This article studies the underestimate that covered the central migration of the city, the Chilean, during the second half of Twentieth Century. This exclusion growth between 1966 and 1983, because of State initiatives that increased local xenophobia, adding political persecutions, fragility in labor conditions, and changes in spatial organization, in the context of the dictatorial governments of this period. The authors analyze the urban marks in Bariloche, that were built taking into account the interests of the hegemonic sectors in the name of ''Nation''. At the same time, this construction was crossed by forms of resistance designed by different social sectors. Inside them, the activity of Chilean migrants involved the construct of a chapel in 1966, in a place known as ''the Chilean neighborhood'', in devotion of the Patron of Chile, the Virgin of Carmen. The chapel and the devotion were erected in order to discuss the logics of pertinence, the ways of recognition and the social visibility.</t>
  </si>
  <si>
    <t>10</t>
  </si>
  <si>
    <t>Ochoa Provoste, Alejandra</t>
  </si>
  <si>
    <t>Displacements and appropriations: the construction of the self in Volverse Palestina, by Lina Meruane</t>
  </si>
  <si>
    <t>ALPHA-REVISTA DE ARTES LETRAS Y FILOSOFIA</t>
  </si>
  <si>
    <t>autobiography; memory; Palestinian migration; Chilean identity</t>
  </si>
  <si>
    <t>In this paper we are interested in investigating how the I of the referential text Volverse Palestina, by the Chilean writer Lina Meruane, is constructed, problematizing the relationship between migration and the themes of memory and identity. Our reading proposal asks about the meaning acquired by the genres chosen by the author to cany out memory and testimonial exercises. The analysis shows the displacement of discursive purposes of the family tree format and of the travel chronic genre, the political-discursive appropriation of the Jewish mandate to remember and the emergence of imagined migrant cartographies.</t>
  </si>
  <si>
    <t>10.32735/S0718-2201202000050779</t>
  </si>
  <si>
    <t>Odasso, Laura; Geoffrion, Karine</t>
  </si>
  <si>
    <t>Doing family online: (In)formal knowledge circulation, information-seeking practices, and support communities</t>
  </si>
  <si>
    <t>FAMILY RELATIONS</t>
  </si>
  <si>
    <t>affordance; ambient presence; connected devices; connected presence; digital literacy; doing family; emotional support; good or proper parent; information bulimia and obesity; information communication and technologies (ICT); information-seeking practices; information-sharing practices; intensive parenting; kin; kinship</t>
  </si>
  <si>
    <t>Objective: Drawing on the theory of polymedia and on the role of information and communications technology (ICT) in (re)defining the articulation between the private and the public, this introduction reflects on what ICT does to and for families around the world. Background: Through the development of networking platforms, video call applications, personal sites, and collaborative information platforms, ICT has changed the way people live, love, and interact. It has also afforded new ways to do family. Method: By featuring studies from a variety of national and regional contexts (Canada, Chile, Ghana, Greece, Moldova, South Korea, Ukraine, the Netherlands, United States, and Turkey), it establishes a dialogue between disciplines and a fruitful cross-fertilization of research topics, methodologies, analyses, and theoretical perspectives. Results: This special issue explores (a) the nexus among family life, relationships, and ICT and (b) the relation between the everyday lived experiences of family members and the broader social structures that circumscribe the width and breadth of those experiences. Conclusion: The contributions show the porosity of the boundary between public and private spaces. Alternative forms of expertise and parenting norms are emerging online. ICTs are integrated into parents' information-seeking and sharing practices, and emotional support. They sustain relationships between family members across distance. However, inequalities regarding access to the Internet and computer literacy still jeopardize digital citizenship and democratization. Implication: The contributions in this special issue high-light the need for better structuring of interventions and policies to support families by using up-to-date ICT systems and creating mentorship programs and digital mediation for family professionals and beneficiaries.</t>
  </si>
  <si>
    <t>10.1111/fare.12865</t>
  </si>
  <si>
    <t>Ojeda-Nahuelcura, Rodrigo; Carter-Thuillier, Bastian; Lopez-Pastor, Victor; Fuentes-Nieto, Teresa</t>
  </si>
  <si>
    <t>Impact of generic or transversal competences on the performance of specialists in physical education and sports sciences: A systematic review</t>
  </si>
  <si>
    <t>JOURNAL OF HOSPITALITY LEISURE SPORT &amp; TOURISM EDUCATION</t>
  </si>
  <si>
    <t>Generic competences; Physical education teachers; Sport sciences</t>
  </si>
  <si>
    <t>The aim of this study was to analyse recent scientific production (period 2015-2021) on the impact of generic competences on the professional performance of specialists in Physical Education (PE) and Sport Sciences. Six databases were consulted following the international PRISMA statement (Moher et al., 2009). The searches yielded 588 results. However, only 12 articles meet the set inclusion criteria. The findings coincide in pointing out the relevance of generic competences in the training of professionals, especially those associated with interpersonal relationships. The competences which tend to be most highly valued in these studies are (a) teamwork; (b) problem solving; (c) ethical commitment; (d) interpersonal skills; and (e) autonomous learning. The studies seem to indicate that these generic competences are the most important ones in the professional performance of professionals on PE and sports sciences which should have been taken into consideration in the training programmes of new teachers.</t>
  </si>
  <si>
    <t>10.1016/j.jhlste.2023.100418</t>
  </si>
  <si>
    <t>Opillard F.</t>
  </si>
  <si>
    <t>Comparing the spatial dimensions of urban struggles. A critical analysis of mobilizations against gentrification in San Francisco (United-States), and against real estate predatory practices in Valparaíso (Chile); [Comparer la dimension spatiale des luttes urbaines. Analyse critique des mobilisations contre la gentrification à San Francisco (états-unis) et contre la prédation immobilière à Valparaíso (Chili)]</t>
  </si>
  <si>
    <t>Annales de Geographie</t>
  </si>
  <si>
    <t>Activism; Gentrification; Real estate predatory practices; San Francisco; Scale; Social movements; Spatial controversies; Spatiality; Terrritorialization; Valparaíso</t>
  </si>
  <si>
    <t>This paper intends to shed light on the theoretical and practical ways in which the comparison of urban struggles in distinct contexts can be conducted, in this case San Francisco (United-States) and Valparaíso (Chile). These urban struggles, which encompass distinct subjects and repertories of contention, are analyzed through the lens of social geography and sociology, to highlight their spatial dimensions. As a first step, the conditions for making the comparison possible lay within the researcher’s reflexivity and engagement while doing fieldwork. This contribution then analyses the subjects at the centre of struggles and the way that contexts shape them. It emphasizes the consistency of anti-dispossession motives in the actors’ discourses and actions. Finally, while going deeper into the cases studied, spatial controversies appear as both an analytical concept and a practical way to elaborate on the actors’ positions in relation to the spatial dimension of the subjects of contestation. In the controversies, people’s mobilization around the systems of municipal regulation stands out as particularly interesting cases of territorialization processes. © Armand Colin.</t>
  </si>
  <si>
    <t>10.3917/ag.720.0115</t>
  </si>
  <si>
    <t>Opotow S.</t>
  </si>
  <si>
    <t>Historicizing Injustice: The Museum of Memory and Human Rights, Santiago, Chile</t>
  </si>
  <si>
    <t>Journal of Social Issues</t>
  </si>
  <si>
    <t>Focusing on the Museum of Memory and Human Rights in Chile, this article examines the intersection of psychology and history as they bear on conflict, memory, and justice. The museum commemorates victims of mass detentions, disappearances, and human rights violations during the Pinochet dictatorship (1973-1990). This article discusses historical precursors to the coup, including United States involvement in Chilean politics. Utilizing the construct, scope of justice, it discusses representations of moral exclusion and moral inclusion in the museum's exhibition. Museum professionals who developed the exhibition describe the challenges of their work because opposing political perspectives about the dictatorship persist. The article suggests that historical museums on injustice can serve as sites that engage such clashing viewpoints. Surfacing narratives and counternarratives about the past and airing tensions and haunting questions can offer insight into social issues, policies, and conflicts that persist today. © 2015 The Society for the Psychological Study of Social Issues.</t>
  </si>
  <si>
    <t>10.1111/josi.12107</t>
  </si>
  <si>
    <t>Órdenes M.M.; Jofré M.I.T.</t>
  </si>
  <si>
    <t>STUDYING RACISM/COLOURISM FROM DECOLONIALITY: CHALLENGING THE WHITENING IDEOLOGY IN CHILE; [ESTUDIAR EL RACISMO/COLORISMO DESDE LA DESCOLONIALIDAD: DESAFIAR LA IDEOLOGÍA DEL BLANQUEAMIENTO EN CHILE]</t>
  </si>
  <si>
    <t>Chile; Colourism; Decolonization; Ideology of miscegenation; Racism</t>
  </si>
  <si>
    <t>In this essay, we argue that studying colorism from a decolonial perspective allows us to unveil the colonial ideologies and structures of contemporary Chile. We argue that the pigmentocratic colonial social order and the policies of whitening and “race improvement” implemented in the 19th and 20th centuries, together with some local interpretations of the racist-eugenic science of the time, constructed an ideology of mestizaje/whitening and nurtured the identification with a whitened Chilean national identity. This contributed to blurring racial boundaries and concealed the presence and importance of racism as a scientific object and social phenomenon. We propose the notion of colorism as a theoretical-methodological tool for the study of racism in Chile and affirm that the decolonial perspective contributes to the understanding of the ideological formation of race in this territory. We argue that the processes of decolonization require identifying and combating the racism/colorism present in Chilean society. © (2023), (Universitat Autonoma de Barcelona). All Rights Reserved.</t>
  </si>
  <si>
    <t>10.5565/rev/athenea.3273</t>
  </si>
  <si>
    <t>Orellana L.; Mansilla M.A.</t>
  </si>
  <si>
    <t>Tracking Dignified Work and the Dignity of the Worker:  Cross-Border Migration and Mobility of Chilean Pentecostals to Argentina (1930-1978); [Rastreando el trabajo digno y la dignidad del trabajador: Migración y movilidad transfronteriza de los pentecostales chilenos a la Argentina (1930- 1978)]</t>
  </si>
  <si>
    <t>Argentina; Chile; Migration; Pentecostal; Work</t>
  </si>
  <si>
    <t>This article analyses the mediating role played by the Pentecostal community in Argentina, which emerged as a cross-border space for migrants, providing a link between Chilean and Argentine society during the period 1930-1978. The methodological approach proposed here is both qualitative and biographical. For this purpose, two research tools were used: In-depth interviews and review of unpublished primary sources, which are characterised by containing oral and written biographical accounts. First, the article addresses the migration of Pentecostals to different parts of Argentina. Second, we focus on the formation of communities and the cross-border mobility of their members. Third, we examine the affinity of values towards work in both the Pentecostal culture and Argentine society. In our analysis, we found that the emergence of Chilean Pentecostal communities in Argentina is linked to the migration phenomenon, with a preference to the southern area of Argentine Patagonia and to spaces of protection of Chilean identity and communion for Chilean migrants. It must be noted that Chilean Pentecostals place special attention on spiritual work, therefore, the valuation of material work becomes for them relational, and is mainly linked to standards of satisfaction as well as personal and social fulfilment. © 2022, Universidad Austral de Chile. All rights reserved.</t>
  </si>
  <si>
    <t>10.4206/rev.austral.cienc.soc.2022.n42-13</t>
  </si>
  <si>
    <t>Orellana, Felipe</t>
  </si>
  <si>
    <t>APROXIMACIONES A LOS MODELOS DE INSERCIÓN MIGRATORIA EN SU DIMENSIÓN RELIGIOSA DESDE EL CASO CHILENO</t>
  </si>
  <si>
    <t>Cultura y religión</t>
  </si>
  <si>
    <t>Religion; migration; transnationalism; multiculturalism; assimilation</t>
  </si>
  <si>
    <t>Abstract: The aim of this article is to discuss the models of migratory insertion -transnationalism, multiculturalism and assimilation- in their religious dimension in the case of Chile. The text is based on the literature regarding this issue, presenting ethnographic evidence of countries in the Southern Cone, i.e. Chile and Argentina, in order to depict how the three models cited in the Chilean case are expressed and with references to the case of Argentina. The authors highlight the expressions of religious trans-nationalism as a common religious practice of immigrants, whether in Chile and Argentina, where religious celebrations of the country of origin are reproduced and adapted in the country of destination. Similarly, and in terms of multiculturalism, the coexistence of culturally different communities and the attempts of integration of these are also identified. Finally, the assimilation model is not viewed in the cases analysed as a loss of the cultural features of the country of origin, but as a reinforcement of community identity through religious practices and expressions.</t>
  </si>
  <si>
    <t>Ortega D.E.</t>
  </si>
  <si>
    <t>Human Development of Peoples</t>
  </si>
  <si>
    <t>Journal of Human Development and Capabilities</t>
  </si>
  <si>
    <t>Education; Human development; Migration</t>
  </si>
  <si>
    <t>This paper provides a framework and estimates of enrollment rates per natural and combines them with previous income and child mortality per‐natural estimates to produce a Human Development Index by country of birth as opposed to country of residence (per natural). The methodology is applied for 1990 and 2000 to provide estimates of growth rates of this measure over the period. The paper also develops and illustrates a framework for estimating an education place premium, and discusses how it is related to per natural measures. The peoples of the least developed countries stand to gain the most from international migration, but there are potentially significant gains to migration between developing countries as well. © 2010, Copyright United Nations Development Programme.</t>
  </si>
  <si>
    <t>10.1080/19452821003677335</t>
  </si>
  <si>
    <t>Ortiz L.V.</t>
  </si>
  <si>
    <t>Migration, borders and identity in the latin american context</t>
  </si>
  <si>
    <t>The Oxford Handbook of the Sociology of Latin America</t>
  </si>
  <si>
    <t>Borders; Identities; Immobility; Migrant worker; Migration; Mobility</t>
  </si>
  <si>
    <t>In concert with more localized analyses of border regions, the Border Studies field has contributed to our understanding of how mobility affects identity. The distinction between cultural and identification boundaries has proved relevant for analyzing the identity processes that arise in border interactions typically marked by ambiguity and contradiction. However, the current migratory context is defined by dehumanizing social and political inequalities. This poses a conceptual challenge to understanding the subjectivities produced by the current policies of border control that dehumanize the immigrant and mobile person. This chapter reflects on the conceptual and empirical relationship between migration, borders, and identity in a current climate characterized by global connections and nation-states’ increasing border control over human mobility. It also analyzes the symbolic dimension of state border control and its consequences for constituting identities. © Oxford University Press 2021.</t>
  </si>
  <si>
    <t>10.1093/oxfordhb/9780190926557.013.28</t>
  </si>
  <si>
    <t>Ossandón R.F.</t>
  </si>
  <si>
    <t>Power asymmetries and the exercise of authority in paid domestic work; [Asimetrías de poder y el ejercicio de la autoridad en el trabajo doméstico pagado]</t>
  </si>
  <si>
    <t>Convergencia</t>
  </si>
  <si>
    <t>Chile; Domestic work; Exercise of authority; Power</t>
  </si>
  <si>
    <t>The present article aims to stress the assumptions underlying the notion of power in studies on paid domestic work and proposes to include an empirical analysis of the management of power asymmetries through the exercise of authority. The methodology of the article bases on the review and analysis of theoretical and empirical texts on the notions of power and authority in gender studies in general, and studies on domestic work in particular, in particular emphasizing the Chilean context. The analysis shows the relevance of stressing the notion of power as domination and makes a proposal for the study of the exercise of authority on the basis of empirical investigation on the affective and intimate relationships between employers and domestic workers. © 2021 Universidad Autonoma del Estado de Mexico. All rights reserved.</t>
  </si>
  <si>
    <t>10.29101/CRCS.V28I0.15904</t>
  </si>
  <si>
    <t>Otero A.M.; Zunino H.M.; Rodríguez M.</t>
  </si>
  <si>
    <t>Real estate investment in times of boom and bust: Is the city a mining product or a financial derivative?; [Las tecnologías socioculturales en los procesos de innovación de los migrantes de amenidad y por estilos de vida. El caso del destino turístico de pucón, Chile]</t>
  </si>
  <si>
    <t>Amenity migration; Lifestyle migration; Pucón; Sociocultural technologies</t>
  </si>
  <si>
    <t>Many mountain destinations receive the contribution of migrants from diverse cultures that generate enterprises and innovations. In general the literature has focused on analyzing social technologies present in process of innovation from the perspective of economic development, leaving aside the social and cultural benefits they entail for their communities. The objective of this paper is to understand the sociocultural technologies of amenity and lifestyle migrants in Pucón and investigate to what extent they contribute to a sustained process of innovation in cultural exchanges between migrants and the inhabitants of the host communities. We deploy a qualitative and exploratory methodology based on 12 in-depth interviews conducted with 12 individuals recently settled in the area and that have initiate processes of innovation. We argue that the sociocultural technologies deployed by the lifestyle migrants show the relevance of considering the contextual mode to comprehend the forms that the process of innovation acquires. © 2017, Revista de Geografia Norte Grande. All rights reserved.</t>
  </si>
  <si>
    <t>Otero, Adriana María; Zunino, Hugo Marcelo; Rodríguez, Mariana</t>
  </si>
  <si>
    <t>Las tecnologías socioculturales en los procesos de innovación de los migrantes de amenidad y por estilos de vida: El caso del destino turístico de Pucón, Chile</t>
  </si>
  <si>
    <t>REVISTA DE GEOGRAFÍA NORTE GRANDE</t>
  </si>
  <si>
    <t>Sociocultural technologies; amenity migration; lifestyle migration; Pucón</t>
  </si>
  <si>
    <t>Many mountain destinations receive the contribution of migrants from diverse cultures that generate enterprises and innovations. In general the literature has focused on analyzing social technologies present in process of innovation from the perspective of economic development, leaving aside the social and cultural benefits they entail for their communities. The objective of this paper is to understand the sociocultural technologies of amenity and lifestyle migrants in Pucón and investigate to what extent they contribute to a sustained process of innovation in cultural exchanges between migrants and the inhabitants of the host communities. We deploy a qualitative and exploratory methodology based on 12 in-depth interviews conducted with 12 individuals recently settled in the area and that have initiate processes of innovation. We argue that the sociocultural technologies deployed by the lifestyle migrants show the relevance of considering the contextual mode to comprehend the forms that the process of innovation acquires.</t>
  </si>
  <si>
    <t>Ovando C.; Álvarez G.; López S.</t>
  </si>
  <si>
    <t>The geopolitical vision of the state of Chile towards its border projection in the Great North: Some critical readings; [A visão geopolítica do Estado do Chile na projeção da fronteira do Norte Grande: Algumas leituras críticas]; [La visión geopolítica del Estado de Chile sobre la proyección fronteriza del Norte Grande: Algunas lecturas críticas]</t>
  </si>
  <si>
    <t>Chile; Critical perspectives; Geopolitics; Great North; Public policy</t>
  </si>
  <si>
    <t>Classic geopolitical knowledge has been a key approach to analysing Chile's Great Northern Region border problems. On this issue, continuities, changes and nuances in theoretical area have been disclosed such as, for instance, the dialogue with International Relations approaches (say, with ideas related to the realist paradigm). In the policies field, it is noted that new perspectives have been introduced which differ from traditional geopolitics, although the latter still exert an important influence on various aspects of defence policy, foreign policy and national policies. Therefore, both dimensions - renewed and traditional - coexist in the definition of Chile's State policies and institutions towards the Great North and the border. The problematization carried out in this article is informed by critical geopolitics ideas. The analysis, in sum, focuses on the presence of "renewed and traditional" perspectives in the practical approximation of Chile towards the Great North border. © 2020 Universidad Complutense de Madrid. All rights reserved.</t>
  </si>
  <si>
    <t>10.5209/geop.61452</t>
  </si>
  <si>
    <t>Overton J.; Stupples P.; Murray W.E.; Gamlen A.; Palomino-Schalscha M.</t>
  </si>
  <si>
    <t>Learning journeys: Five paradigms of education for development</t>
  </si>
  <si>
    <t>Asia Pacific Viewpoint</t>
  </si>
  <si>
    <t>development; education; migration; neoliberalism; Pacific Islands</t>
  </si>
  <si>
    <t>Education is one of the key objectives of, and means for, development. Its value is widely accepted though we rarely investigate the way different theories of development inform widely differing justifications and strategies for education. This article explores some of these issues and proposes five main paradigms regarding the education-development nexus. These we term neoliberalism, retroliberalism, neostructuralism, place-based and radical. Each is linked to particular concepts of development, each involves certain forms of education, and each is linked to particular policy discourses. Although these are largely abstract paradigms and in practice we see more hybridised forms co-existing, we consider implications of each paradigm for education with examples from Oceania. © 2020 Victoria University of Wellington and John Wiley &amp; Sons Australia, Ltd</t>
  </si>
  <si>
    <t>10.1111/apv.12283</t>
  </si>
  <si>
    <t>Owen J.R.; Kemp D.</t>
  </si>
  <si>
    <t>Social management capability, human migration and the global mining industry</t>
  </si>
  <si>
    <t>Corporate social responsibility; Human migration; Mining; Social management capabilities; Social risk</t>
  </si>
  <si>
    <t>This article examines the social management capability (SMC) of the global mining industry to identify, understand and manage complex social and environmental issues, such as human migration. Our contribution is based on the analysis and interpretation of two sets of qualitative data: (i) existing literature on SMCs and its relevance to demographic pressures in mining, and (ii) a series of industry-commissioned “deep dives” exploring high profile legacy cases. These sources provide a coherent picture of how the mining industry has positioned itself in responding to contentious social and environmental challenges. Our findings suggest that, considering the dynamic nature of human migration issues like in-migration and resettlement, the industry does not have sufficiently robust SMCs. The absence of these SMCs has resulted in ad-hoc strategies for managing high risk, high cost issues. In concluding, we argue that a major step change is needed within the industry in terms of developing and then rapidly advancing its SMCs. © 2017</t>
  </si>
  <si>
    <t>10.1016/j.resourpol.2017.06.017</t>
  </si>
  <si>
    <t>Oyarzun Serrano, Lorena; Aranda, Gilberto; Gissi, Nicolas</t>
  </si>
  <si>
    <t>International Migration and Migration Policy in Chile: Tensions between State Sovereignty and Emerging Citizenships</t>
  </si>
  <si>
    <t>COLOMBIA INTERNACIONAL</t>
  </si>
  <si>
    <t>Chile; international migration; migration policy; sovereignty; human rights; citizenship; migration law</t>
  </si>
  <si>
    <t>Objective/Context: International migrationsopen the debate on citizenship, inclusion, and human rights, as well as sovereignty, national security, and selectivity. Chile is not oblivious to these tensions, challenges, and opportunities. Addressing the period from the 1990s to the present day, we analyze international migration narratives and how they are expressed by the country's Department of Foreign Affairs and Migration. Methodology: We use a qualitative method and case study to examine the historical and political factors in depth. Similarly, the historical analysis we include shows the continuities and changes in international migration's conceptualization and laws. Conclusions: There is a struggle to define the national/international limits that permeates the discussions on citizenship and international migration. Likewise, visions focused on national security compete against others focused on rights. We believe that after the social outbreak in Chile, there is a new structure of political and social opportunities to discuss a migration law and a Constitution that addresses the rights of migrants, rules of due process, mechanisms for social and political participation. Originality: This article discusses the recognition and representation of emerging citizenship, a fundamental theme in the increasingly numerous multicultural societies of the 21st century. Likewise, an international and political perspective, rarely used in migration studies, particularly in Chile, is included.</t>
  </si>
  <si>
    <t>10.7440/colombiaint106.2021.04</t>
  </si>
  <si>
    <t>Özkan Z.; Ergün N.; Çakal H.</t>
  </si>
  <si>
    <t>Positive versus negative contact and refugees' intentions to migrate: The mediating role of perceived discrimination, life satisfaction and identification with the host society among Syrian refugees in Turkey</t>
  </si>
  <si>
    <t>Journal of Community and Applied Social Psychology</t>
  </si>
  <si>
    <t>identification; intergroup contact; migration; perceived discrimination; refugees</t>
  </si>
  <si>
    <t>Most research on refugee integration focuses on attitudes toward refugees among the members of the host society. Consequently, little is known on refugees' intentions to return home or migrate to another country. The present research investigates whether positive and negative contact with Turks are related to Syrian refugees' migration decisions via perceived discrimination, identification with the host society, and life satisfaction. Using a sample of Syrian adults (N = 285), we found that positive contact with Turks was associated with reduced return intentions via perceived discrimination and identification with the host society and with reduced intentions to migrate from Turkey to the Western countries via life satisfaction. Negative contact was only associated with increased return intentions via perceived discrimination. This study underscores the role of intergroup contact to better understand migration decisions of refugees and potential underlying mechanisms to explain this association. Please refer to the Supplementary Material section to find this article's Community and Social Impact Statement. © 2021 John Wiley &amp; Sons, Ltd.</t>
  </si>
  <si>
    <t>10.1002/casp.2508</t>
  </si>
  <si>
    <t>Pablo Couyoumdjian, Juan</t>
  </si>
  <si>
    <t>Who walks out? Entrepreneurship in a global economy</t>
  </si>
  <si>
    <t>INTERNATIONAL REVIEW OF LAW AND ECONOMICS</t>
  </si>
  <si>
    <t>Entrepreneurship; Voting-with-the-feet; Institutions</t>
  </si>
  <si>
    <t>Modern entrepreneurially driven capitalism is embedded in a global economy. Crucially, in this environment entrepreneurship must be viewed as a mobile resource. Entrepreneurs can thus vote-with-their-feet when deciding where to establish their businesses. The institutional context for entrepreneurship is a key determinant of an agent's decision to migrate. In this paper we put forward a new framework for an examination of the relationship between institutional quality and entrepreneurship. We then offer an exploration on the problem of entrepreneurship in an economy that is open to the international movement of goods and services, capital and, above all, labor, especially talented labor. (C) 2011 Elsevier Inc. All rights reserved.</t>
  </si>
  <si>
    <t>10.1016/j.irle.2011.12.001</t>
  </si>
  <si>
    <t>Paerregaard K.</t>
  </si>
  <si>
    <t>Commodifying intimacy: Women, work, and care in peruvian migration</t>
  </si>
  <si>
    <t>Conflict; Gender; Migration; Peru; Social anthropology</t>
  </si>
  <si>
    <t>This article explores Peruvian female migration to the United States, Europe, and other South American countries. Drawing on three case studies from Spain, Argentina, and Chile, it examines ethnographically how women migrants make a living as domestics and caretakers, and negotiate work relations with their employers. In particular, the article scrutinizes the bonds of intimacy that the women create with the people they take care of, and the migration policies and labor markets in the receiving societies that mold these bonds. It argues that in contrast to the employers who claim the right to control the caretakers' "animating" force, the latter only recognize the employers' right to acquire their physical work. It concludes that at the heart of the conflicts between the women and their employers lies an immanent tension between the "animating" and "de-animating" forces inherent in the global care industry. © 2012 by the American Anthropological Association.</t>
  </si>
  <si>
    <t>10.1111/j.1935-4940.2012.01255.x</t>
  </si>
  <si>
    <t>Paerregaard, Karsten</t>
  </si>
  <si>
    <t>Capitalizing on migration: The role of strong and weak ties among Peruvian entrepreneurs in the United States, Spain and Chile</t>
  </si>
  <si>
    <t>MIGRATION STUDIES</t>
  </si>
  <si>
    <t>migration; entrepreneurship; networks; social capital; Peruvians</t>
  </si>
  <si>
    <t>How do Peruvian migrants use ethnic entrepreneurship to make headway in their countries of settlement? This article answers this question by using three ethnographic case studies to explore how Peruvian entrepreneurs mobilize resources to open restaurants in the United States, Spain and Chile. The finding is that Peruvian restaurant owners are adept in converting their educational skills and previous work experiences into human capital but that they often lack financial and cultural capital to establish new enterprises. Another insight is that while most Peruvian entrepreneurs use bonding capital to access these resources not all command enough bridging capital to capture customers outside their family and ethnic networks, which is critical to compete on the ethnic restaurant market. A final topic of inspection is the receiving contexts and the opportunity structures in the three countries and the way they facilitate or restrain immigrant entrepreneurships. The article concludes that migration scholars should inquire into the relations of inequality that the concepts of network and social capital gloss over and scrutinize how they shape the bonding and bridging capital immigrant entrepreneurs use to create mixed clienteles.</t>
  </si>
  <si>
    <t>10.1093/migration/mnx032</t>
  </si>
  <si>
    <t>Palacios Sanabria, Luis</t>
  </si>
  <si>
    <t>The School for migrants: education for the exercise of rights and responsibilities project as a university social responsibility practice</t>
  </si>
  <si>
    <t>REVISTA DE EDUCACION Y DERECHO-EDUCATIONAL AND LAW REVIEW</t>
  </si>
  <si>
    <t>migration; human rights; university social responsibility; relationship with the environment</t>
  </si>
  <si>
    <t>The relationship between human rights and university social responsibility was theoretically addressed through the study of the initiative School for Migrants: Education for the Exercise of Rights and Responsibilities, a project to link with the environment of the Austral University of Chile executed by the Faculty of Legal and Social Sciences. This initiative was considered a socially responsible practice under the theoretical assumptions of social responsibility applicable to university management. A qualitative research was carried out to form an information base based on interactions through conversations with key informants and review of bibliographic sources.</t>
  </si>
  <si>
    <t>Palacios-Valladares I.</t>
  </si>
  <si>
    <t>From Militancy to Clientelism: Labor Union Strategies and Membership Trajectories in Contemporary Chile</t>
  </si>
  <si>
    <t>For the past 30 years, Chilean unionism has been shrinking. Through a comparison of the membership trajectories of 26 unions in two firms between 1990 and 2004, this article explains why some unions defied this trend and how their success affected overall union density in their firms. It argues that the unions that experienced the most favorable membership outcomes were those that, at key junctures of firm restructuring, earliest or most aggressively established a partnership relationship with management. However, in a context of great labor weakness, these cases of union accommodation took the form of exclusive patron-client exchanges, which exacerbated collective action problems and further eroded union density. © 2010 University of Miami.</t>
  </si>
  <si>
    <t>10.1111/j.1548-2456.2010.00082.x</t>
  </si>
  <si>
    <t>Palieraki E.</t>
  </si>
  <si>
    <t>Broadening the field of perception and struggle: Chilean political exiles in Algeria and Third world cosmopolitanism</t>
  </si>
  <si>
    <t>African Identities</t>
  </si>
  <si>
    <t>1970s; Algeria; Chile; Political exile; Popular Unity; Third World</t>
  </si>
  <si>
    <t>Named the ‘Mecca of Revolution’ by Amilcar Cabral, Algeria was in the 1960s and the 1970s a hub for revolutionary movements and political exiles coming from all over the world, as well as a major player in the Non-Aligned Movement (NAM). This article focuses on the Chilean exiles that settled in Algeria after the 1973 military coup against Salvador Allende and its Popular Unity (PU) government. Though highly revealing both about Algeria’s position in the international landscape and about the 1970s Third World ‘activist cosmopolitanism’, this case is not widely known. Based on empirical data (Chilean and Algerian press, Archives of the Chilean Ministry of Foreign Affairs, oral sources and the Chilean exiles’ publications), this paper analyses the political connections between Algeria and Chile through the 1970s political exiles. The settlement of an important community of Chilean exiles in Algeria reveals the strong ideological bonds created between the two countries in the framework of the NAM during the years previous to the Chilean coup. The analysis of the exiles’ establishment in Algeria provides an understanding of how the exile experience transforms militant subjectivities and, in this case, how it allows the exiles’ increasing identification with a Third world transnational activism. More generally, I argue that this period’s ‘revolutionary cosmopolitanism’ took place in regions with no tight relationships between them until the 1950s. Members of a new political community–the ‘Third World’–often had to invent a common identity, based on a supposedly shared memory of common struggles (namely against imperialism and colonialism). Whereas the Third world ‘activist cosmopolitanism’ initially built upon interstate and inter-national policies, the 1960s–1970s political exiles contributed to the rise of a ‘grassroots’ transnational activism and to the formation of militant subjectivities anchored in a popularized Third Worldist political thought. © 2018, © 2018 Informa UK Limited, trading as Taylor &amp;amp; Francis Group.</t>
  </si>
  <si>
    <t>10.1080/14725843.2018.1452138</t>
  </si>
  <si>
    <t>Palma J.</t>
  </si>
  <si>
    <t>Beyond the Economic-Need Hypothesis: A Life-Course Explanation of Women’s Extended Family Living Arrangements in Chile</t>
  </si>
  <si>
    <t>Chile; extended households; life course; living arrangements; subfamilies</t>
  </si>
  <si>
    <t>Previous research has mainly understood household extension as a family strategy to face economic deprivation, giving little attention to other factors affecting it. Using 2017 data from the National Socioeconomic Characterization Survey, this article evaluates the role played by economic and life-course factors in extended family living arrangements among women in family units in Chile (n = 60,111). Results indicate that economic needs are an important driver for those seeking refuge in someone else’s home, but they are less important for those hosting other relatives within their household. Importantly, the likelihood of living in an extended household—and the position that family units occupy within the household (as head-families or subfamilies)—changes over the life span. Young women (15–34 years) are more likely to live in extended households as sub-families, while middle-aged women (45–64 years) tend to live in extended households as household heads, hosting young cohabiting couples, or lone mothers. © The Author(s) 2021.</t>
  </si>
  <si>
    <t>10.1177/0192513X211022396</t>
  </si>
  <si>
    <t>Palma P.</t>
  </si>
  <si>
    <t>Dissemination of Traditional Chinese Medicine in Latin America and the Caribbean: The Cases of Peru, Chile, and Cuba</t>
  </si>
  <si>
    <t>Chinese Medicine and Culture</t>
  </si>
  <si>
    <t>Caribbean; Chile; Chinese migration; Cuba; History of medicine; Latin America; Peru; Traditional Chinese medicine</t>
  </si>
  <si>
    <t>Traditional Chinese medicine (TCM) arrived from China to Latin America and the Caribbean in the 1840s due to the massive migration of Chinese people to the region. In a few years, the press noticed the presence of Chinese herbalists practicing in different cities and countries regardless of the demographic weight of the Chinese community. The fascination with Chinese doctors implicated not only the press but also the literature, a phenomenon particularly observed in Cuba. In the first decades of the 20th century, the reactivation of Chinese immigration to the region fostered an anti-Chinese climate that materialized in more significant migratory restrictions and control of their businesses, such as what happened with Chinese herbalists. These herbalists who practiced inside and outside the Chinese community started to object to criticism and persecution by the conservative press and professional doctors. Despite this, Chinese doctors will continue to maintain their support of a significant number of ill persons. This work seeks to illuminate the historical relevance of TCM in Latin America and the Caribbean, focusing on the cases of Peru, Chile, and Cuba. This last country was far from China culturally and geographically, but as in many other small towns in the region, Chinese medicine presented an alternative to the treatment of illnesses. © 2024 Journal of the American Association of Nurse Practitioners. All rights reserved.</t>
  </si>
  <si>
    <t>10.1097/MC9.0000000000000083</t>
  </si>
  <si>
    <t>Palma Rojas, Cristobal Sebastian</t>
  </si>
  <si>
    <t>On Wood and concrete: residential habitat and inhabit of Latin American migrants in the city of Santiago</t>
  </si>
  <si>
    <t>Latin American migration; shantytowns; residential verticalization; housing</t>
  </si>
  <si>
    <t>Based on two ethnographic experiences, one in a shantytown located at the periphery of Greater Santiago and another, still ongoing, in verticalization areas in the center of the city of Santiago, this article discusses the influence of materialities and housing spatialities in the configuration of inhabit of Latin American migrant living in the Metropolitan Region. It concludes that the habitat in the shantytown, whose spatiality and materiality are of a plastic order and in permanent construction, allows forms of spatial appropriation, of symbolic and material order, as the building and improvement of the housing proceed, while the habitat in residential verticalization zones whose materiality is rigid and preset, restricts the possibilities of spatial appropriation at the material level. However, in the intimacy of the house and at the symbolic and affective dimension there are forms of domestication of the residential space which are modeled by its migrant users.</t>
  </si>
  <si>
    <t>10.7770/CUHSO-V31N1.ART2000</t>
  </si>
  <si>
    <t>Palma, Patricia; Carrasco, Jose Manuel; Zanatti, Martin Monsalve</t>
  </si>
  <si>
    <t>From Undesirable Immigrants to Prosperous Merchants: Chinese and Palestinians in Southern Peru (1900s-1930s)</t>
  </si>
  <si>
    <t>IMMIGRANTS AND MINORITIES</t>
  </si>
  <si>
    <t>Immigration; merchants; Chinese; Palestinians; Peru</t>
  </si>
  <si>
    <t>The article analyses the commercial trajectory of Chinese and Palestinian immigrants, the largest communities in the cities of Arequipa and Moquegua in southern Peru. Although they were not part of 'desired' immigration projects and faced a series of prejudices and hostilities, these immigrants integrated significantly into the regional and national economies. The article draws on the qualitative analysis of a heterogeneous set of primary archival sources, many of which have not been studied before. These sources include records of immigration up to 1931, notarial files, and press reports from both cities. This work contributes to migration and business studies based on two approaches: undesirable migration and the role of migrants in forming the modern business system of the countries of the region.</t>
  </si>
  <si>
    <t>10.1080/02619288.2023.2277587</t>
  </si>
  <si>
    <t>Palma, Patricia; Maubert, Lucas</t>
  </si>
  <si>
    <t>Chinese migration in Chile: Border control and diplomatic conflicts (1906-1937)</t>
  </si>
  <si>
    <t>HISTORIA Y POLITICA</t>
  </si>
  <si>
    <t>Chinese immigration; migration policies; Chile; Peru; Bolivia</t>
  </si>
  <si>
    <t>This article analyzes the Chilean government's migration policy to control Chinese citizens' arrival and circulation from border countries (Peru and Bolivia) at the beginning of the 20th century. Similar to what happened in other countries in the Americas, Chinese immigration provoked the first laws to control and exclude immigrants and forced the strengthening of border controls through an identifica-tion system. These efforts produced a series of bilateral tensions between Chile, Peru, and Bolivia. The study is based on the analysis of documents issued and received by the Ministry of Foreign Relations of Chile and Peru, the Municipality of Tacna, and newspapers from Lima (Peru), Santiago, Valparaiso, and Arica (Chile). We conclude that Chinese immigration in Chile shaped the borderland and gave way to the coun-try's first migration control measures in the early decades of the 20th century. The success of Chinese migration control was due to the efforts of various public officials and border agents who, from their positions in border cities such as Arica, or in the consulates in Asia in Hong Kong or Tokyo, aligned themselves with the wishes of the central government to restrict the entry of unwanted immigrants to the country.</t>
  </si>
  <si>
    <t>10.18042/hp.49.10</t>
  </si>
  <si>
    <t>Palomera A.; Norambuena C.</t>
  </si>
  <si>
    <t>Refuge and asylum of Bolivians during the Chilean dictatorship. 1973 and 1975; [Refugio y asilo de Bolivianos durante la dictadura Chilena entre 1973 y 1975]</t>
  </si>
  <si>
    <t>Asilo; Asylum; Bolivia; Bolivia; Chile; Chile; Refuge; Refugio</t>
  </si>
  <si>
    <t>Our hypothesis is that Chile in the 1970's presented two different scenarios. At first, it appeared as a reliable country, where one could migrate, go into exile or seek refuge, trusting that the socialist government could receive anyone who felt threatened in their home countries. After the 1973 military coup, the country's socio-political conditions varied, whereupon people began to move out seeking political asylum or directly into exile. Under such circumstances, it is necessary to delve into the conceptual difference between one situation and another. This article deals specifically with the experience of political refuge and asylum of Bolivian nationals in Chile during the presidency of Salvador Allende and the early years of military dictatorship. Because refugee protection became a continent-wide problem, the involvement of international agencies such as the United Nations High Commissioner for Refugees, the Inter-Governmental Committee for European Migrations, the National Committee for Refugee Aid and the United Nations, became mandatory. The methodology applied is fundamentally based on documentary evidence, such as safe-conducts issued by Chile's Ministry of Foreign Relations, which demonstrate a process that in this paper is defined as a "double refuge". © 2018, Universidad de Tarapaca.; Partimos de la hipótesis de que Chile en la década de los años setenta tuvo dos escenarios diferentes. En los inicios se configuró como un país confiable al que se podría emigrar, exiliarse o solicitar refugio con la certeza de que, debido a las características del régimen socialista, este podía albergar a todos aquellos que se sintieran amenazados en sus países de origen. Luego del golpe militar de 1973, el panorama político-social del país cambió. Bajo estas condiciones, se produjeron movimientos de personas asociadas a situaciones de asilo, exilio y refugio, razón por la que es preciso discurrir acerca de su diferencia conceptual. Este artículo trata específicamente del refugio y asilo de bolivianos en Chile entre el gobierno del presidente Salvador Allende y los inicios de la dictadura militar. A causa de que la protección de refugiados se convirtió en una problemática regional, demandó la intervención de organismos internacionales como el Alto Comisionado de las Naciones Unidas para los Refugiados (ACNUR); el Comité Intergubernamental para las Migraciones Europeas (CIME), el Comité Nacional para Ayuda a los Refugiados (CONAR), y la Organización de las Naciones Unidas (ONU). La metodología utilizada se basa fundamentalmente en el análisis de información documental, como los salvoconductos emitidos por el Ministerio de Relaciones Exteriores de Chile, que permiten evidenciar un proceso que, en este escrito, denominaremos "doble refugio". © 2018, Universidad de Tarapaca.</t>
  </si>
  <si>
    <t>10.4067/S0719-26812018000300133</t>
  </si>
  <si>
    <t>Palomera, Adriana</t>
  </si>
  <si>
    <t>Theoretical and Historical Considerations and Tensions around Asylum and Refuge</t>
  </si>
  <si>
    <t>Forced displacement; Refuge; Asylum and Regulatory Regime</t>
  </si>
  <si>
    <t>In recent decades, the increase in forcibly displaced people seeking refuge and protection, along with restrictions installed at many borders to prevent their entry, has meant that millions of human beings face a humanitarian crisis. The multiple realities that refugees live, in addition to stressing the conceptualizations and regulations about asylum and refuge, force its permanent revision. The objective of this article is to examine the theoretical and historical considerations of asylum and refuge, which show the edges and scope of the discussion on the subject.</t>
  </si>
  <si>
    <t>Palomino J.; Lovón M.</t>
  </si>
  <si>
    <t>Venezuelan migrants in Peruvian digital newspapers: An analysis from the social actor representation model; [Los migrantes venezolanos en los diarios digitales peruanos: un análisis desde el modelo de la representación de actores sociales]</t>
  </si>
  <si>
    <t>Headlines; Migration; Representation; Social actors; Venezuelans</t>
  </si>
  <si>
    <t>This research describes the representations of Venezuelan migrants in Peruvian newspapers of mass circulation, specifically in newspapers such as El Comercio, Trome and Exitosa. The main objective is to analyze the representations that are constructed about the life of Venezuelan migrants in Peru through the headlines of these newspapers. The corpus with which we worked were newspaper headlines in their digital version. A textual analysis is carried out and the modes of representation of excluded and included social actors according to Van Leeuwen’s (1996) categories are identified. The article concludes that the participation of a social actor in controversial news or in the assignment of responsibilities is minimized and Venezuelan migrants are included in news of favorable contexts or in the narration of significant events, so that their representation is positive. However, the digital press does not fail to make negative representations about migrants, when it describes them as “criminals”. © Universidad de Alcalá</t>
  </si>
  <si>
    <t>10.37536/LYM.14.2.2022.1577</t>
  </si>
  <si>
    <t>Palomino J.; Sarrias M.</t>
  </si>
  <si>
    <t>The monetary subjective health evaluation for commuting long distances in Chile: A latent class analysis</t>
  </si>
  <si>
    <t>economic valuation; health costs; latent class; long-distance commuting; willingness to accept</t>
  </si>
  <si>
    <t>Long-distance commuting (LDC) is a growing phenomenon in specialized countries in extractive industries such as Chile. There has also been a growing concern about the potential impacts on the health of long-distance commuters. This paper formalizes the relationship between commuting distance and self-assessed health status and shows the monetary valuation of health costs for commuting long distances using a latent class approach. This econometric approach allows us to capture both preference and threshold heterogeneity. The results show that there are two classes of workers: the first group is not sensitive to commuting distance, whereas the monetary valuation of workers in the second group is equivalent to CLP $431 (US$0.68). © 2019 The Author(s). Papers in Regional Science © 2019 RSAI</t>
  </si>
  <si>
    <t>10.1111/pirs.12416</t>
  </si>
  <si>
    <t>Palominos Mandiola, Simón</t>
  </si>
  <si>
    <t>Racialización y exotización de la migración en las políticas culturales de Chile: el discurso de interculturalidad transfronteriza en el Festival Migrantes</t>
  </si>
  <si>
    <t>Racialisation; exoticisation; migration; interculturality; cultural policies; Chile</t>
  </si>
  <si>
    <t>Abstract: This article explores the representations of migration within the Chilean cultural policies. It focuses on the organisation of the Migrantes Festival, an event organised since 2015 by the National Council for the Culture and Arts and since 2018 by its successor, the Ministry of Cultures, Arts and Heritage, to promote cultural exchanges between Chilean and migrant populations. Based on literature review, official documentation, press and other records, the article studies the emergence of a transborder interculturality discourse in cultural policies as a device to represent the cultural practices of the migrant communities in the country. The article identifies an apparent contradiction between cultural policies that celebrate interculturality and migration policies that restrict the mobility of people. Nevertheless, based on the analysis, it concludes that the device of transborder interculturality in its institutional form articulates with the restriction of migration, enforcing the Chilean national identity, exoticising and racializing migrant cultural practices, and localising these communities in a subordinate position within the Chilean society.</t>
  </si>
  <si>
    <t>10.32735/s0718-6568/2023-n64-1828</t>
  </si>
  <si>
    <t>Paradela-López M.; Antón J.-I.; Jima-González A.</t>
  </si>
  <si>
    <t>How Much Have We Changed? Long-Term Determinants of Attitudes toward Homosexuality in Chile</t>
  </si>
  <si>
    <t>Latin American Research Review</t>
  </si>
  <si>
    <t>acceptance; attitudes; Chile; econometric decomposition; homophobia; homosexuality</t>
  </si>
  <si>
    <t>This study explores the evolution of individual attitudes toward homosexuality in Chile during the period 1998-2018. Based on microdata from the International Social Survey Programme, it finds evidence of a significant rise in the share of people accepting homosexual relationships, from 5.4 percent to 38.5 percent of the population. Observable individual-level socioeconomic characteristics are responsible for only 3.6 percentage points of this shift. In particular, the increase in educational attainment and generational replacement help to explain this trend and account for an increase of 2.6 percentage points (roughly 45 percent of the initial level of acceptance). Nevertheless, the bulk of this shift is due to structural changes in Chilean society, which may have increased acceptance across all the demographic subgroups considered in the analysis.  © The Author(s), 2023.</t>
  </si>
  <si>
    <t>10.1017/lar.2023.7</t>
  </si>
  <si>
    <t>Paredes D.</t>
  </si>
  <si>
    <t>The Role of Human Capital, Market Potential and Natural Amenities in Understanding Spatial Wage Disparities in Chile; [Le rôle du capital humain, du potentiel de marché et des avantages naturels pour comprendre les disparités salariales spatiales au Chili]</t>
  </si>
  <si>
    <t>Spatial Economic Analysis</t>
  </si>
  <si>
    <t>Chile; natural amenities; new economic geography; Spatial wage disparity</t>
  </si>
  <si>
    <t>This paper presents an empirical framework for analysing spatial wage inequality in Chile. Chile is primarily characterized by two stylized facts: the high spatial concentration around the metropolitan area and the key role of natural resources in the country. The paper considers both elements in a competition between NEG (new economic geography) and a theory based on natural resource endowment, with both theories incorporating human capital via a multilevel analysis. The results show the poor performance of NEG for Chile and indicate that natural resources are the principal cause of spatial wage variability in Chile. © 2013 Copyright Regional Studies Association.</t>
  </si>
  <si>
    <t>10.1080/17421772.2013.774094</t>
  </si>
  <si>
    <t>Paredes D.; Iturra V.; Lufin M.</t>
  </si>
  <si>
    <t>A Spatial Decomposition of Income Inequality in Chile</t>
  </si>
  <si>
    <t>Chile; Income inequality; Spatial; Three-stage nested Theil index</t>
  </si>
  <si>
    <t>Paredes, D., Iturra, V. and Lufin, M. A spatial decomposition of income inequality in Chile, Regional Studies. Previous literature identifies the high and persistent income inequality of Chile, but the geographic heterogeneity of the inequality is still unexplored. This lack of discussion encourages spatially blind policy that ignores the interaction between individual and spatial inequality. To evaluate its magnitude, a spatial decomposition at the regional, provincial and county levels is proposed. The decomposition indicates that between 1992 and 2009, 21% of the total inequality is attributable to geographical scale. The results show that spatial inequality is a relevant magnitude to be considered by policy-makers. © 2014 Regional Studies Association.</t>
  </si>
  <si>
    <t>10.1080/00343404.2014.933798</t>
  </si>
  <si>
    <t>Paredes, Dusan; Soto, Juan; Fleming, David A.</t>
  </si>
  <si>
    <t>Wage compensation for fly-in/fly-out and drive-in/drive-out commuters</t>
  </si>
  <si>
    <t>Wage compensation; fly-in/fly-out commuters; drive-in/drive-out commuters; functional areas; Chile; mining industry</t>
  </si>
  <si>
    <t>The fly-in/fly-Out (FIFO) or, drive-in/drive-out (DIDO) labour system is a long-distance commuting work arrangement to attract workers towards remote mineral or fossil fuel extraction areas, where they work in shifts and then return to their usual place of residence located in a different region. Along with more and cheaper transportation alternatives, the use of FIFO/DIDO systems have importantly increased in last decades around the world, which has translated to FIFO/DIDO systems operating even when already established cities are present in extractive regions. This paper uses the case of Chile, one of the most important mining countries in the world, to explore whether and in what extent these labor systems influence wage compensations. We find that FIFO/DIDO commuters obtain an average wage compensation of 2.4 per cent per commuted hour.</t>
  </si>
  <si>
    <t>10.1111/pirs.12296</t>
  </si>
  <si>
    <t>Parella, Sonia; Guell, Berta; Contreras, Paola</t>
  </si>
  <si>
    <t>An intersectional perspective on forced marriage as a form of gender violence</t>
  </si>
  <si>
    <t>forced marriage; arranged mar-riage; migrant women; agency; Spain</t>
  </si>
  <si>
    <t>In recent years, forced marriage as a manifestation of violence against women has entered the public agenda in European Union countries. This is partly due to higher numbers of migrants from regions where it is a regular practice. This paper aims to show the different ways violence manifests itself in forced marriage, both symbolically and practically - in terms of experiences - based on a qualitative sample of women with a range of migration backgrounds residing in Catalonia. The intersectional gender approach of the analysis enables the interaction to be considered of various factors when it comes to understanding contexts of risk and violence, as well as exit strategies from forced marriage.</t>
  </si>
  <si>
    <t>10.24241/rcai.2023.133.1.137</t>
  </si>
  <si>
    <t>Parker C.</t>
  </si>
  <si>
    <t>‘St Helena, an island between’: Multiple migrations, small island resilience, and survival</t>
  </si>
  <si>
    <t>Island Studies Journal</t>
  </si>
  <si>
    <t>Bourdieu; Britishness; Islandness; Islands; Migration; St Helena; Transnational</t>
  </si>
  <si>
    <t>St Helena is a non-sovereign British Overseas Territory located in the South Atlantic Ocean. When full British citizenship was removed in 1981, migration destinations were reduced to Ascension Island and the Falkland Islands. The islanders of St Helena are not only transnational; they are trans-islander. With the return of citizenship in 2002, many St Helenians migrated to the UK, depleting the population on the island, creating doubts regarding the island’s future. Whilst the islanders defended their British national identity, they simultaneously questioned it. This paper demonstrates how although St Helena officially economically relies on the British Government, the islanders themselves support their island through economic remittances. This paper offers an insight into how communities survive during times when their national identity is ruptured. The St Helenian community remains intact; the islanders have ensured this. A suit of Bourdieu’s concepts have been utilised for a theoretically driven understanding of islandness. Islander identity is formed as outward-looking desiring opportunity, freedom of movement and capital, and inward-looking with a strong sense of feeling and attachment to the island. Continuity and survival for this small island community is composed of migration, shift, and rupture. © 2020—Institute of Island Studies, University of Prince Edward Island, Canada.</t>
  </si>
  <si>
    <t>10.24043/isj.122</t>
  </si>
  <si>
    <t>Parra-Cardona R.; Fuentes-Balderrama J.; Cantizano Rioseco L.; Monreal Arcil F.J.; Correa Molina M.L.; Martic Guazzini D.; Ford Narváez A.; Neira González A.; Sánchez Ahumada M.; Chacón Sandoval A.; Marín Montecinos J.; Gaete J.</t>
  </si>
  <si>
    <t>Building bridges through cultural adaptation: Examining the initial impact of a culturally adapted parent training intervention for the Chilean context</t>
  </si>
  <si>
    <t>Family Process</t>
  </si>
  <si>
    <t>Chilean parents; cultural adaptation; parent training; prevention</t>
  </si>
  <si>
    <t>Child exposure to maltreatment and neglect constitutes a significant public health problem throughout Latin American and Caribbean (LAC) countries. Although evidence-based parent training (PT) interventions constitute an empirically demonstrated alternative to prevent child maltreatment and neglect, multiple implementation barriers have prevented the large-scale dissemination of evidence-based PT interventions across LAC countries. This selective prevention study consisted of an exploratory quasi-experimental design implemented in Chile, aimed at examining the initial impact of a culturally adapted version of the evidence-based PT intervention known as GenerationPMTO©. The parenting intervention was adapted in a previous pilot study, according to a rigorous model of cultural adaptation. Based on self-reports completed by 281 caregivers, when compared to baseline measurements, significant improvements at intervention completion were observed in the majority of caregivers' parenting practices, as well as child internalizing and externalizing problematic behaviors. This study provides promising initial empirical evidence that efficacious PT interventions developed in the US can be transported to Latin American contexts, as long as they are thoroughly adapted to achieve high contextual and cultural relevance. The rates of child maltreatment across LAC countries constitute an urgent and permanent call for strongly promoting this line of prevention research. © 2023 Family Process Institute.</t>
  </si>
  <si>
    <t>10.1111/famp.12855</t>
  </si>
  <si>
    <t>Parson N.</t>
  </si>
  <si>
    <t>Transformative Ties: Gendered violence, forms of recovery, and shifting subjectivities in Chile</t>
  </si>
  <si>
    <t>Medical Anthropology Quarterly</t>
  </si>
  <si>
    <t>Domestic violence; Gender; Recovery; Subjectivity; Trauma</t>
  </si>
  <si>
    <t>Although a significant body of scholarship on trauma has emerged in medical anthropology, there has been little examination of how gendered expectations shape the aftermath of extreme human experience, forms of recovery, and subjectivity. Here, I show how domestic and other forms of violence have shaped Luz's suffering in the dictatorial (1973-90) and officially democratic (1990-present) eras in Chile. I then elucidate how Luz's engagement with Safe Space, an NGO connected to UN violence against women frameworks, and other globally connected women's groups, have allowed her to generate transformative ties with other women. These relationships provide support for Luz's self-defined project of transforming herself and society, largely in relationship to gendered expectations, so that her recovered sense of self will have more of a home in the world, outside the boundaries of narrowly defined gender roles. This analysis is based on ethnographic research in Santiago, Chile, over 19 months in 2000-04 and 2009, including participantobservation at two domestic violence centers and life history interviews with 18 women who sought help there. © 2010 by the American Anthropological Association.</t>
  </si>
  <si>
    <t>10.1111/j.1548-1387.2010.01085.x</t>
  </si>
  <si>
    <t>Parson, Nia</t>
  </si>
  <si>
    <t>I Am Not [Just] a Rabbit Who Has a Bunch of Children!: Agency in the Midst of Suffering at the Intersections of Global Inequalities, Gendered Violence, and Migration</t>
  </si>
  <si>
    <t>VIOLENCE AGAINST WOMEN</t>
  </si>
  <si>
    <t>agency; migration; violence</t>
  </si>
  <si>
    <t>This article is based on an analysis of the life history narrative of Antonia, a Peruvian immigrant in Chile, in the context of ethnographic research on Chilean women's experiences of domestic violence (DV) and the post-dictatorship state's responses to DV. Structural and socio-cultural constraints and forms of violence, including global and local economic inequalities, migration, racism, and intimate, gender-based abuses in both home and receiving countries interact in Antonia's experience to produce suffering and influence a form of gendered agency. This analysis points to the need for research and policies specifically designed to attend to the intersecting vulnerabilities migrant women who suffer DV often face, as well as their agentive acts.</t>
  </si>
  <si>
    <t>10.1177/1077801210376224</t>
  </si>
  <si>
    <t>Parsons L.; Chann S.</t>
  </si>
  <si>
    <t>Mobilising hydrosocial power: Climate perception, migration and the small scale geography of water in Cambodia</t>
  </si>
  <si>
    <t>Political Geography</t>
  </si>
  <si>
    <t>As successive reports have predicted tens or even hundreds of millions of people displaced by climate change in the coming decades, the politics of climate migration has moved to the forefront of contemporary public discourse. In particular, those least able to adapt and most vulnerable to exploitation have garnered media and policy attention. Nevertheless, analysis of this phenomenon is inhibited by the large scale, predominantly unidirectional nature of the phenomenon's social scientific analysis, leaving the power laden nature of resource and infrastructure persistently underplayed. In particular, how the geography of natural resources produces different patterns of (im)mobility in response to environmental change, even within the same community, remains poorly understood. Drawing on data gleaned from a multi-sited study of rural and migrant livelihoods in Cambodia, this paper highlights how the small scale, power-laden geography of water resources and irrigation shapes migration in response to the changing climate. Using brick workers as a case study of ‘hyper-precarious’ migrant labour, it uses quantitative, qualitative and spatial data to show how the socio-economically situated geography of water influences both perception of the climate, and mobility in response to it. Viewing this resource landscape as a form of hydrosocial power, the paper overarchingly makes a case for enhanced communication between the climate migration and hydrosocial power literatures, in order to better conceptualise the role of power in articulating the linkages between water geographies and climate mobility. © 2019 The Authors</t>
  </si>
  <si>
    <t>10.1016/j.polgeo.2019.102055</t>
  </si>
  <si>
    <t>Pastén L.M.E.; Zambrano V.H.V.</t>
  </si>
  <si>
    <t>Migration and education in Chile: Is the educational response enough in the current context of cultural diversity?; [Migración y educación en Chile: ¿Es suficiente la respuesta educativa en el actual contexto de diversidad cultural?]</t>
  </si>
  <si>
    <t>Cultural diversity; Educational response; Inclusive education; Migration</t>
  </si>
  <si>
    <t>Current migratory movements involving Latin American and Caribbean countries have impacted Chile in recent years and progressively increased. Foreigners must to adapt to a new sociocultural and educational context, situation that generates imbalances both for foreigners and for native citizens. The main objective of this article is to carry out a critical analysis of the current migratory situation in Chile, and how education is addressing requirements derived from this condition. In addition, general guidelines are proposed for a better social and educational integration of the immigrant population considering the principles of inclusion. © 2018, Universidad del Zulia. All rights reserved.</t>
  </si>
  <si>
    <t>Patterson M.W.; Hoalst-Pullen N.</t>
  </si>
  <si>
    <t>Dynamic equifinality: The case of south-central Chile's evolving forest landscape</t>
  </si>
  <si>
    <t>Chile; Dynamic equifinality; Land cover change</t>
  </si>
  <si>
    <t>This paper explores a modified conceptual model of equifinality and applies it to an evolving landscape in south-central Chile. The equifinality model assumes that for a given open system, phenomena can take different paths and reach the same end state. We argue that landscapes with differing land cover can change over time for various reasons (political, social, or economical), and yet evolve into a landscape with the same land cover. Using a series of remotely sensed images spanning from 1976 to 2007, we look at land cover in three comunas in south-central Chile, each with a different dominant land cover in the early 1970s. We analyze land cover classes over time and find that each comuna is steadily increasing in forest cover through the establishment of plantations. Although we argue that policies of the 1970s and 1990s play a strong role in the establishment of plantations, we note that other factors (social and economic) are lending to the plantation land use. With regard to the equifinal behavior of land use in this region, we find the equifinality model (as based on the traditional principle of equifinality) limited, as plantations are not a stochastic end state, but a cyclical process of growth, harvest and replanting. As plantation land use is represented by an ever changing land cover, we introduce the term dynamic equifinality to explain how this land cover change via human-induced pathways does not reach an end state, per se, but rather a dynamic end process. © 2010 Elsevier Ltd.</t>
  </si>
  <si>
    <t>10.1016/j.apgeog.2010.12.004</t>
  </si>
  <si>
    <t>Pavez Soto, Iskra</t>
  </si>
  <si>
    <t>INMIGRACIÓN Y RACISMO: EXPERIENCIAS DE LA NIÑEZ PERUANA EN SANTIAGO DE CHILE</t>
  </si>
  <si>
    <t>Migrant childhood; racism; discrimination</t>
  </si>
  <si>
    <t>This article analyzes the discrimination and racism experienced by children of Peruvian immigrants in Santiago, Chile, using gender perspective and a theoretical understanding of the sociology of childhood, which considers children a social group capable of agency. There is evidence that socio-economic context creates situations of exclusion for Peruvian families, a scenario that aggravates discrimination based on "Peruvian origin" as a sign of vulnerability. Finally, child migration represents a chance for participation, reflection and childhood agency at the family, school, and community levels.</t>
  </si>
  <si>
    <t>Pavez Soto, Iskra; Ortiz López, Juan; Domaica Barrales, Anastassia</t>
  </si>
  <si>
    <t>Percepciones de la comunidad educativa sobre estudiantes migrantes en Chile: trato, diferencias e inclusión escolar</t>
  </si>
  <si>
    <t>education; migration; good treatment; racialization; sexualization</t>
  </si>
  <si>
    <t>ABSTRACT: The possibility of promoting active forms of inclusion in educational centers with the presence of foreign students is often determined by the perceptions that exist around the migrant subject. In this framework, the objective of this article is to analyze the perceptions that educational communities of the regions with the greatest presence of migrant population have in relation to treatment, differences and the way in which inclusion of foreign students is addressed. Through the application of semi-structured interviews to different actors, it was established that good treatment and inclusion in the school context depend on the assimilation levels of migrant students, who are also racialized and sexualized, especially Afro-Colombian girls. Additionally, there is a nationalist discourse that tends to stigmatize migrant children. Therefore, public policies for school inclusion are needed.</t>
  </si>
  <si>
    <t>Pavez-Soto I.</t>
  </si>
  <si>
    <t>Violence against migrant children in santiago, Chile: Resistances, agency, and actors; [Violencias contra la infancia migrante en santiago de chile: Resistencias, agencia y actores]</t>
  </si>
  <si>
    <t>Agency; Childhood immigration; Chile; Latin america; Violence</t>
  </si>
  <si>
    <t>This study’s objective is to identify the multiple forms of violence suffered by migrant girls and boys in Santiago, Chile, as well as the strategies of resistance they develop to confront such attacks, recognizing the children’s capacity for agency. Through semi-struc-tured interviews with children and their families, it was found that they suffer racist practices in the search for a family home, in their daily coexistence in the neighborhood, and in the school space with manager-teachers and in the peer group. The limitation of this qualitative study is that the findings cannot be generalized, but it has great testimonial value because it delves into the experiences related by the actors themselves. © 2018, El Colegio de la Frontiera Norte. All rights reserved.</t>
  </si>
  <si>
    <t>10.17428/rmi.v9i35.423</t>
  </si>
  <si>
    <t>Pavez-Soto I.; Ortiz-López J.; Domaica-Barrales A.</t>
  </si>
  <si>
    <t>Perceptions of the educational community about migrant students in Chile: Treatment, differences and school inclusion; [Percepciones de la comunidad educativa sobre estudiantes migrantes en Chile: Trato, diferencias e inclusión escolar]</t>
  </si>
  <si>
    <t>Education; Good treatment; Migration; Racialization; Sexualization</t>
  </si>
  <si>
    <t>The possibility of promoting active forms of inclusion in educational centers with the presence of foreign students is often determined by the perceptions that exist around the migrant subject. In this framework, the objective of this article is to analyze the perceptions that educational communities of the regions with the greatest presence of migrant population have in relation to treatment, differences and the way in which inclusion of foreign students is addressed. Through the application of semi-structured interviews to different actors, it was established that good treatment and inclusion in the school context depend on the assimilation levels of migrant students, who are also racialized and sexualized, especially Afro-Colombian girls. Additionally, there is a nationalist discourse that tends to stigmatize migrant children. Therefore, public policies for school inclusion are needed. © 2020 Universidad Austral de Chile.</t>
  </si>
  <si>
    <t>10.4067/S0718-07052019000300163</t>
  </si>
  <si>
    <t>Pavez-Soto I.; Salinas S.-G.; Dufraix I.; Ortiz-López J.E.; Ramírez V.A.</t>
  </si>
  <si>
    <t>Ethical Reflexivity of a Stumble: Unaccompanied Migrant Children and Adolescents; [Reflexividad ética de un traspié: niñez y adolescencia migrantes no acompañadas]</t>
  </si>
  <si>
    <t>childhood; children's rights; ethics; Migration</t>
  </si>
  <si>
    <t>The objective of this article is to systematize a process of ethical reflexivity that emerged in a re-search project (Fondecyt) whose purpose was to know the situation of unaccompanied migrant chil-dren and adolescents in Chile. The project was approved with ethical qualms that made it challen-ging to implement participatory methods. This «stumble» gave way to reflexivity. Through a Panel of Experts methodology, we created a self-convened ethics committee (professionals in Law and Psy-chology specializing in childhood) that prepared entry and exit reports with recommendations and protocols and trained the team. In the results, we expose some ethical dilemmas -around informed consent, copyright, and a balance between risks and benefits- identified in the different evaluation instances and the learning derived from it. We end with future lines of research. © 2023 Authors. All rights reserved.</t>
  </si>
  <si>
    <t>10.11600/rlcsnj.21.3.5904</t>
  </si>
  <si>
    <t>Pavez-Soto, Iskra</t>
  </si>
  <si>
    <t>SOCIOCULTURAL INTEGRATION AND RIGHTS OF IMMIGRANT CHILDREN IN THE LOCAL CONTEXT-THE CASE OF THE RECOLETA DISTRICT (METROPOLITAN REGION, CHILE)</t>
  </si>
  <si>
    <t>Children; immigrant; rights; sociocultural integration; Chile</t>
  </si>
  <si>
    <t>Sociocultural integration of migrant children is increasingly becoming an issue of local interest, as it is in the family, school and neighbourhood where rights are exercised and integration is experienced. Within this perspective, this article analyzes the sociocultural integration of immigrant children in the Recoleta district in Santiago (Chile). Data for this qualitative study have been collected through interviews with immigrant children ages 6 to14 both from Peru and born in Chile to immigrant parents. The study concludes that social rights (like health and education) are exercised in Recoleta. However, social integration is greatly affected by poverty, exclusion and discrimination. Even though their voices are not always heard in matters directly affecting them -like their own migration-, these children actively participate in local associations that strengthen a sense of belonging and promote a critical reflection on the cultural forms of being a girl and a boy, here and now.</t>
  </si>
  <si>
    <t>10.4067/S0717-73562017005000105</t>
  </si>
  <si>
    <t>Pavez-Soto, Iskra; Chan, Carol</t>
  </si>
  <si>
    <t>The Second Generation in Chile: Negotiating Identities, Rights, and Public Policy</t>
  </si>
  <si>
    <t>This article presents the first study of children born in Chile to at least one migrant parent - the second-generation. Based on a mixed methods and child-centred approach, this article discusses institutional and experiential aspects of boundary and identity-making in Chile regarding race and nationality. We first review quantitative data from the state regarding the second-generation. Building on insights from comparative research on European states' second-generation integration policies, we suggest how gathering targeted Census data in Chile can inform the long-term evaluation of state policies and programs for socio-cultural inclusion in education and labour. We also present qualitative data from interviews with ten second-generation children between ages eight to thirteen, born to parents from Peru and Ecuador. We attend to how they negotiate being perceived as foreign and/or Chilean. Their position in-between the two categories is an important starting point for policies and discourse to expand notions of citizenship and belonging.</t>
  </si>
  <si>
    <t>10.1111/imig.12410</t>
  </si>
  <si>
    <t>Pavez-Soto, Iskra; Colomés, Sofía</t>
  </si>
  <si>
    <t>Derechos humanos y política migratoria. Discriminación arbitraria en el control de fronteras en Chile</t>
  </si>
  <si>
    <t>borders; arbitrary discrimination; migration policy; human rights</t>
  </si>
  <si>
    <t>Abstract: Human rights have to be considered within migratory policies of modern States. However, this subject is stressed with the sovereignty principle, which permits control at these State’s borders. When border control violates the human rights of migrant population this is considered arbitrary discrimination. The aim of this article is to identify the legal gaps and also the legal guarantees that exist in diverse legislative instruments and law projects regarding migration, that allow the avoidance of arbitrary discrimination at the border control, in special in the northern part of the country. The research was conducted through documental analysis and interviews with experts. The results demonstrate that, even though there are improvements in several subjects -such as the creation of a new institutionalization and the recognition of human rights in law projects-, they don’t include neither they give an effective solution to the legal gap that facilitates arbitrary discrimination.</t>
  </si>
  <si>
    <t>10.32735/s0718-6568/2018-n51-1352</t>
  </si>
  <si>
    <t>Pavez-Soto, Iskra; Ortiz-López, Juan; Ap. Voltarelli, Monique</t>
  </si>
  <si>
    <t>Mujeres interventoras en pandemia: sobre la infancia y su representación</t>
  </si>
  <si>
    <t>childhood; migration; intervention; pandemic</t>
  </si>
  <si>
    <t>Abstract:The aim of this article is to investigate the social representations of childhood in a group of women interveners in two dimensions: 1) migrant childhood, like actor that demands intervention in a pandemic; and 2) the experience of childhood of the women is analyzed, from a biographical approach. A qualitative methodology was used, through a self-administered questionnaire, in electronic format. A content and intersectional analyses were applied. The sample consisted of twenty-four professional, technical and volunteer women of various nationalities who work in NGOs in regions of the northern and central zone of Chile. It is concluded that the intervening women identify a representation of migrant children as a lacking subject, in a situation of helplessness and violation of rights that affect their quality of life, even more so in a time of health crisis and scarce institutional response. As a counterpoint, the childhood experience of the intervening women emerges as a diverse representation, where the protagonism of an acting subject who speaks in the first person is visible, even in adversity. Thus, the intersectional analysis of the representation -or representations- of childhood -or childhoods- becomes an input that nourishes praxis.</t>
  </si>
  <si>
    <t>10.32735/s0718-6568/2021-n60-1659</t>
  </si>
  <si>
    <t>Pavez-Soto, Iskra; PobleteGgodoy, Daniela; Poblete-Melis, Rolando; Alfaro-Contreras, Carmen; Domaica, Anastassia</t>
  </si>
  <si>
    <t>Initial Teacher Training (ITE) and Intercultural Education: How to Prevent Violence Against Migrant Children?</t>
  </si>
  <si>
    <t>Initial teacher training; interculturality; migration; childhood; violence; prevention</t>
  </si>
  <si>
    <t>The goal of this article is to analyze the relationship between teacher training needs in the field of interculturality and violence against migrant children with a view to an anti-racist education. Results of a study carried out in two regions of the country are presented: Metropolitan and Valparaiso. Through a qualitative methodology, semi-structured interviews were applied to teachers and professionals who serve the migrant school population. It is concluded that there are discourses that recognize the problems of racism and discrimination suffered by this population, as well as other accounts that deny or minimize it, hierarchizing the nationalities of origin of the migrant student body. There is also an urgent need for teacher training that emerges from a global public policy that promotes an updated curri-culum where cultural diversity is a value, while the category of childhood is recognized as a priority axis of inequality and the recognized reception as a transversal practice. In the current scenario, various coexistence conflicts arise that need to be managed from paradigms that are friendly to migrant children and methodologies that recognize their rights and guarantee true inclusion in our country.</t>
  </si>
  <si>
    <t>10.21678/apuntes.95.1823</t>
  </si>
  <si>
    <t>Pavlic R.D.; Arévalo R.M.</t>
  </si>
  <si>
    <t>Teaching with an attitude: How effective has citizen education been in chile?; [Ensinando com atitude: Quão efetiva tem sido a formação cidadã no chile?]; [Enseñando con actitud: ¿cuán efectiva ha sido la formación ciudadana en chile?]</t>
  </si>
  <si>
    <t>Chile; Citizen education; Civic Education; Political Attitudes; Political Behavior; Political Socialization</t>
  </si>
  <si>
    <t>Although citizen training has been used as a component of the official school curriculum to overcome low levels of political participation in Chile, everything indicates that its curricular implementation into the school experience has not been successful. Although its application in Chile has a long history, its effect on the willingness of students to participate politically has not been properly studied. We maintain that, although it can promote participatory attitudes, the way it is implemented shapes its effects. Regression analyses of the 2016 ICCS survey with variables at the school and individual level demonstrate that the integration of the subject transversally has a positive effect, but only in dispositions related to electoral participation, while other forms of implementation have null or even negative effects on dispositions towards other forms of participation. © 2021, Arizona State University. All rights reserved.</t>
  </si>
  <si>
    <t>10.14507/epaa.29.4969</t>
  </si>
  <si>
    <t>Pechurina A.</t>
  </si>
  <si>
    <t>‘Visiting Home’ as a Method and Experience: Researching Russian Migrants’ Homes in the UK</t>
  </si>
  <si>
    <t>IMISCOE Research Series</t>
  </si>
  <si>
    <t>Home; Migration; Personal life; Qualitative interviews; Reflexivity</t>
  </si>
  <si>
    <t>This chapter draws on a study which examined the interrelation between home, migration and cultural identity, using home-based qualitative interviews as the main method of data collection. As the chapter shows, while the home as an interview setting offers opportunities to see and discuss objects in their actual location as well as engage the senses, it also poses challenges of ethical and methodological nature. This chapter presents a discussion of the home interview situation and the ways it came to reveal different contexts and relationships that produced a host/guest dynamic that reflected various expectations from both the researcher and the participants. While the domestic space provides welcome and hospitality, it also imposes boundaries and rules. Overall, the chapter calls for a more methodologically nuanced and reflexive approach to the home-based interview that can uncover meanings, attachments and relationships that affect both participants and researchers. © 2023, The Author(s).</t>
  </si>
  <si>
    <t>10.1007/978-3-031-23125-4_6</t>
  </si>
  <si>
    <t>Pedemonte, Nicolas; Madero, Cristobal; Lobos, Constanza</t>
  </si>
  <si>
    <t>Migration in the Classroom to the light of Multicultural Beliefs and Constructivist Teaching Practices</t>
  </si>
  <si>
    <t>INTERNATIONAL JOURNAL OF INSTRUCTION</t>
  </si>
  <si>
    <t>Chile; constructivism; education; migration; multiculturalism; teachers</t>
  </si>
  <si>
    <t>The significant increase in immigration in Chile poses great challenges in schools that receive new students. However, there is not enough information on how schools and teachers embrace this new diversity. In this context, this article analyses multicultural beliefs and constructivist teaching practices in Chilean schools. Although this study tries to describe teaching beliefs and practices, it also explores, through a multivariate analysis, the explanatory factors of teachers' constructivist and multicultural tendencies. A questionnaire was applied to teachers and students to analyse and compare their perceptions and practices. The results suggest clues about the relevance of individual educational personal variables informing inclusive and culturally sensitive education. The systemic level variables, the institutional ones, do not show the same incidence in terms of multicultural beliefs and constructivist teaching practices. This statistical study opens future possibilities for complementary qualitative studies and comparative exercises.</t>
  </si>
  <si>
    <t>Pelacani G.; Moreno C.</t>
  </si>
  <si>
    <t>Clinical legal education and free legal services for migrants and refugees in Colombia: An experience tale; [Educação legal clínica e serviços jurídicos gratuitos para migrantes e refugiados na Colômbia: Relato de uma experiência]; [Educación legal clínica y servicios legales gratuitos a migrantes y refugiados en Colombia: Relato de una experiencia]</t>
  </si>
  <si>
    <t>Clinical legal education; Colombia; Experiential education; Migration; Social change</t>
  </si>
  <si>
    <t>The essay reflects on the contributions of Clinical Legal Education to achieve greater access to justice and rights for migrants and refugees in Colombia, based on a specific experience. With this objective in mind, after providing a brief context, the text investigates how the Consultorio Jurídico de la Universidad de los Andes (Bogota, Colombia), and, later, the Legal Clinic for Migrants at the same university, responded to the increasing needs for specialized and free legal services by this population. Thus, the article reflects on the specific challenges involved in advocating for migrants and refugees' rights in the Colombian context. In particular, based on some cases accompanied by the students of the Clinic, this work deepens on the lessons learned and challenges encountered. The article concludes by stating that, in this context, Clinical Legal Education shows its pedagogical and social transformative potential, and, at the same time, it is an occasion to critically reflect on the limits of the law and on the ethical conflicts that underlie the legal profession. © 2021 Universidad de Chile. All rights reserved.</t>
  </si>
  <si>
    <t>10.5354/0719-5885.2021.64774</t>
  </si>
  <si>
    <t>Peluso D.M.</t>
  </si>
  <si>
    <t>Circulating between rural and urban communities: Multisited dwellings in amazonian frontiers</t>
  </si>
  <si>
    <t>Amazonia; Bolivia; Indigenous people; Migration; Multisited dwellings; Peru; Urban</t>
  </si>
  <si>
    <t>This article argues that processes of indigenous urbanization in Amazonia differ from other types of migration in the region. Indigenous migrations rarely signify full-time absences or dislocations from communities of origin. Nor do they necessarily entail a permanent moving to towns, but rather, individuals positioning themselves in various degrees as potentially indigenous urbanites, creating a wide series of active links between cities and communities of origin. Indigenous urbanization is understood here to refer to both the increased presence of indigenous peoples in cities as well as the growth of cities due to indigenous populations, and I argue for more nuanced attention to unique aspects of indigenous urbanization processes. After providing an overview of the various relationships and residence arrangements that link different indigenous Ese Eja communities to their closest urban centers in Amazonian Peru and Bolivia, I turn my attention toward one community and town. At this point, I focus in particular on the ways in which people craft urban and rural aspects of self, and the strategic interactions that these positionalities might entail across different types of communities and towns as individuals fashion themselves both as "urban" subjects and as "indigenous others." Furthermore, this paper contributes to debates that reconsider the relationships between the city and the rural in emerging literatures on indigenous cosmopolitanism arguing that lived experiences of navigating cityscapes need to feature more prominently in Amazonian ethnographies. © 2015 by the American Anthropological Association.</t>
  </si>
  <si>
    <t>10.1111/jlca.12134</t>
  </si>
  <si>
    <t>Peng L.; Swider S.</t>
  </si>
  <si>
    <t>Migration and regional inequality: changing characteristics of China’s economic inequality</t>
  </si>
  <si>
    <t>Eurasian Geography and Economics</t>
  </si>
  <si>
    <t>China and regional economic inequality; economic convergence; hukou system and inequality; migration; remittances</t>
  </si>
  <si>
    <t>Scholars studying economic inequality in China have maintained that regional inequality and economic divergence across provinces have steadily increased over the past 30 years. New studies have shown that this trend is a statistical aberration; calculations show that instead of quickly and sharply rising, regional inequality has actually decreased, and most recently, remained stable. Our study suggests that China’s unique migratory regime is crucial to understanding these findings. We conduct a counterfactual simulation to demonstrate how migration and remittances have mitigated income inequality across provinces in order to show that without these processes, we would have seen more of a rise in interprovincial income inequality. We conclude by arguing that inequality in China is still increasing, but it is changing and becoming less place-based. As regional inequality decreases, there are signs that point to the increasing importance of interpersonal inequality. © 2017 Informa UK Limited, trading as Taylor &amp; Francis Group.</t>
  </si>
  <si>
    <t>10.1080/15387216.2017.1292144</t>
  </si>
  <si>
    <t>Penny, H. Glenn</t>
  </si>
  <si>
    <t>Material Connections: German Schools, Things, and Soft Power in Argentina and Chile from the 1880s through the Interwar Period</t>
  </si>
  <si>
    <t>Argentina; Chile; cultural hybridity; Germany; Latin America; material culture; migration; networks; schools; soft power</t>
  </si>
  <si>
    <t>From the late nineteenth century through the interwar period, the production and consumption of German things played critical roles in delineating and connecting a wide variety of German places in Latin America. Such places became ubiquitous in Chile and Argentina. They flourished because there was ample room in the German imagination for the multiplicity of German places and the cultural hybridity that accompanied them to extend beyond Imperial Germany's national boundaries and colonial possessions. They also flourished because host societies found virtue in having those German places in their states. This essay uses German schools in Argentina and Chile as a window into the emergence of such German places and the soft power that accompanied them. Scholars often overlook that power when they focus on colonial questions or formal and informal imperialism in Latin America. More than any other institution, German schools became sites where the production and consumption of German things were concentrated and multilayered, and where the consistencies and great varieties of Germanness that arrived and evolved in Latin America gained their clearest articulation. Because those schools were both centers of communities and nodes in a global pedagogical network that thrived during the interwar period, they provide us with great insight into a nexus of motivations that created German places in Latin America. Life around these schools also underscores the importance of studying immigrants and their things together.</t>
  </si>
  <si>
    <t>10.1017/S0010417517000159</t>
  </si>
  <si>
    <t>Perassi E.</t>
  </si>
  <si>
    <t>Objects-as-witness: fractures and reconstructions of the identity; [Objetos-testigo. Fracturas y reconstrucciones del relato identitario]</t>
  </si>
  <si>
    <t>Kamchatka</t>
  </si>
  <si>
    <t>Disappearance; Memory; Migration; Objects-as-witness; Testimonial art; Testimonial literature; Testimonial photography; Violence</t>
  </si>
  <si>
    <t>The presentation will be divided into three movements: fractures, reconstructions and archives. Each movement will correspond to a different typology of objects: shoes, nails and beams, clothes. The aim is to show the process of defamiliarization/refamiliarization of some of the objects present in the testimonial stories of Miguel Lawner (Return to Isla Dawson) and Marta Dillon (Aparecida), as well as in a corpus of photographic images ((Javier García, Lourdes Almeida, Gustavo Gutiérrez) and artistic and performative works (Alfredo López Casanova, Colectivo de Hijos, Elina Chauvet, Doris Salcedo). As a whole, they are objects that exhibit resistance and resilience, creations that are opposed to “counter creation” – as Primo Levi defines it – programmed by the concentration-based universe. Through them the autobiographical story broken by the seizure or by the disappearance returns to “get in shape” (Arfuch, 2013), having been centered on the metonymic eloquence of the object. © 2020 Universitat de Valencia, Faculty of Philology, Translation and Communication. All rights reserved.</t>
  </si>
  <si>
    <t>10.7203/KAM.16.18407</t>
  </si>
  <si>
    <t>Pereira Arena V.</t>
  </si>
  <si>
    <t>Weaving Borders, Resorting to Beliefs: The Role of Religion in the Migratory Trajectories of Intracontinental Migrants in Latin America</t>
  </si>
  <si>
    <t>International Journal of Latin American Religions</t>
  </si>
  <si>
    <t>Latin America; Migration; Migratory trajectories; Religion; Use of religion</t>
  </si>
  <si>
    <t>This article seeks to problematise the relationship between migration and religion by exploring the different uses that migrants make of religion in their migratory trajectories. Through the analysis of the religious and migratory trajectories of Peruvian migrants residing in the cities of Córdoba (Argentina) and Montevideo (Uruguay), evidence is presented of how religion is used in the migratory trajectory and life as migrants in the destination societies. The main findings highlight the relevance of religion in different aspects of the participants’ migratory experience. In the pre-migratory stage, three main uses of religion were identified: the intercession of transcendent beings in preparation for mobility, the religious inspiration to emigrate supported by migratory networks provided by religious communities, and the emotional refuge found in beliefs in the face of challenges before migration. During the reception process and daily life, migrants used religion to maintain a symbolic or concrete link with their societies of origin, as well as a part of a cultural legacy transmitted from their place of origin. Furthermore, religious beliefs were interpreted as part of a divine plan that gave meaning to migration experiences. Finally, religious practices also functioned as emotional support during the reception process, and participation in local religious communities served as a way to establish social and cultural connections in the host societies. The findings show it is vital to consider religion in studies and programmes involving migrants and to include migrants’ perspectives in research on religion. © The Author(s), under exclusive licence to Springer Nature Switzerland AG 2024.</t>
  </si>
  <si>
    <t>10.1007/s41603-024-00238-9</t>
  </si>
  <si>
    <t>Pérez Álvarez, Gonzalo</t>
  </si>
  <si>
    <t>El aporte de la migración chilena a la formación de una nueva clase obrera en el noreste de Chubut: 1956-1989</t>
  </si>
  <si>
    <t>working class; developmentalism; chilean migration; Chubut</t>
  </si>
  <si>
    <t>We tried to understand the process of formation of a new working class in north-eastern Chubut, central region of the argentinean Patagonia, from the imposition of an industrialization project subsidized by the state, covering the period 1956-1989. In this process was important the contribution made by workers from the neighbouring country of Chile, who incorporated their experience and traditions of struggle and organization in that construction. In the region was formed a textile industrial park, primary aluminium factory and fish processing plants, aiming the state power, consolidate the exercise of national sovereignty over under populated territories. It thus sought to build a working class who shared the "national" objectives and were not "politicized". Chilean-born workers were part of the resistance to this state project.</t>
  </si>
  <si>
    <t>43</t>
  </si>
  <si>
    <t>Perez Azua, Lorena Paola</t>
  </si>
  <si>
    <t>Way of Working Life in Santiago de Chile: Stories of Otavalenas Women</t>
  </si>
  <si>
    <t>Otavalena; transnational migration; informal commerce; criminalization</t>
  </si>
  <si>
    <t>Chile is a pole of attraction for immigrant workers, coming mainly from Latin America and the Caribbean in a context of globalized crisis. Under this scenario, this article seeks to understand the meanings granted by Otavalenas women, indigenous Ecuadorians, to the migratory process and working life in Santiago de Chile. In order to do that, we accompanied, observed and did qualitative interviews of social trajectories related to their labor practice. The findings suggest that although mobility is motivated by improving their economic situation, the social paths that live in Chile confront them to a precarious and conflictive existence, which they approach through individual and social strategies. This is, from the incorporation of their culture and their valuable resources. Keyword: Otavalena; transnational migration; informal commerce; criminalization. Introduccion</t>
  </si>
  <si>
    <t>10.11144/Javeriana.upsy16-5.fvlr</t>
  </si>
  <si>
    <t>Pérez F.; Vicencio T.</t>
  </si>
  <si>
    <t>Neighborhood Life. Spatial Appropriation Practices of Haitian Migrants in Central and Peripheral Neighborhoods of Santiago; [Migración y vida barrial. Prácticas de apropiación espacial de migrantes haitianos en barrios céntricos y periféricos de Santiago]</t>
  </si>
  <si>
    <t>housing; migration; urban imaginary</t>
  </si>
  <si>
    <t>The following article proposes to address the spatial practices of appropriation of the neighborhood environment of Haitian migrants living in the Estación Central and Quilicura communes of the city of Santiago. It is proposed to investigate from the ethnographic perspective, on possible conflicts and/or tensions in relation to the uses of neighborhood space resulting from spatial practices deployed by migrants living in central neighborhoods located in the vicinity of the Estación Central commune, as well as those who in recent years have populated peripheral communes of the city of Santiago, as is the case of the commune of Quilicura. The main results point to the relevance of religious ascriptions and sociocultural life in the neighborhood environment as neighborhood affiliation strategies in a context where the tensions associated with the processes of deterritorialization and reterritorialization –themselves linked to the migratory phenomenon– are put into play. © EURE.</t>
  </si>
  <si>
    <t>10.7764/eure.50.149.11</t>
  </si>
  <si>
    <t>Pérez Gañán M.R.; Pesántez Calle B.N.</t>
  </si>
  <si>
    <t>The impact of migration on the educational expectations and aspirations and the social mobility of Sigseño Youth; [Impacto migratorio en las aspiraciones y expectativas educativas y de movilidad social de jóvenes Sigseños]</t>
  </si>
  <si>
    <t>Ecuador; Educational aspirations; Educational expectations; Migration; Transnational family</t>
  </si>
  <si>
    <t>This article analyzes whether the discourses generated in the communication and material exchange within transnational households impact the aspirational narrative and imaginary regarding the fulfillment of the educational and professional expectations for the sons and daughters of migrants from the district of Sígsig, Ecuador. A qualitative study demonstrates that international migration does not have a negative influence on educational aspirations and may have a positive influence on the imaginary regarding expectation fulfillment given the remittances they are receiving. © 2017, El Colegio de la Frontiera Norte. All rights reserved.</t>
  </si>
  <si>
    <t>10.17428/rmi.v9i33.242</t>
  </si>
  <si>
    <t>Pérez R.; Salazar A.; Foster W.; Osses P.</t>
  </si>
  <si>
    <t>The effect of distance to market on rural poverty in the metropolitan Santiago; [El efecto de la distancia al mercado sobre la pobreza rural en la Región Mgetropolitana de Santiago]</t>
  </si>
  <si>
    <t>Countryside-city relationship; Poverty; Spatial distribution</t>
  </si>
  <si>
    <t>The national poverty headcount in Chile has declined considerably since 1990. In 2006, rural poverty rate fell below that of urban areas, due in part to population mobility. Rural areas, however, are still characterized by low educational levels and incomes, explained, in part, by low population density, remoteness to services, and limited access to markets for rural-produced products. This study finds that distance (measured as travel time) of rural populations to urban areas is associated with the incidence of poverty in rural communities after controlling for other factors. Using an econometric model based on geographical and socioeconomic information of the Metropolitan Region of Santiago, the study finds that poverty levels in census tracts increase with distance to Santiago, and, for a given distance, access to transportation reduces poverty, through a mitigation of the distance effect. © EURE.</t>
  </si>
  <si>
    <t>10.4067/S0250-71612013000100007</t>
  </si>
  <si>
    <t>Pérez-Arredondo C.; Cárdenas-Neira C.; Cárcamo-Ulloa L.</t>
  </si>
  <si>
    <t>The construction and legitimation of Elisa Loncón as a Mapuche female political leader on Instagram</t>
  </si>
  <si>
    <t>Journal of Language and Politics</t>
  </si>
  <si>
    <t>Chile; constitutional process; indigenous female leadership; multimodal analysis; social media</t>
  </si>
  <si>
    <t>This study analyzed the multimodal discursive strategies Elisa Loncón, a Mapuche linguist and renowned academic, used on Instagram to position herself as a sociopolitical leader during her tenure as president of the Chilean Constitutional Convention. 811 Instagram posts from her account were downloaded from 15 January 2021 until 15 January 2022. From this, 81 of the most interacted posts were selected and used to examine her multimodal discursive strategies while drawing on the Discourse-Historical Approach (Reisigl and Wodak 2001, 2016). The results revealed three main themes: (1) the construction of an alternative leadership, (2) visibilization of female leadership decision-making, and (3) a vindication of linguistic rights. Referential and intensification strategies were particularly salient, and they were used to legitimize her role and foreground her Mapuche ancestry. These findings highlight how female political leaders (and their intersecting identities) strategically deploy their communication practices to resist sexism and racism.  © John Benjamins Publishing Company.</t>
  </si>
  <si>
    <t>10.1075/jlp.22144.per</t>
  </si>
  <si>
    <t>Pérez-Roa, Lorena; Galaz, Caterine</t>
  </si>
  <si>
    <t>Cadena de favores y pagos: relaciones de endeudamiento transnacional de la población haitiana residente en Quilicura, Santiago de Chile</t>
  </si>
  <si>
    <t>Ecological approach; Haitian migration; indebtedness; moral economy; support networks</t>
  </si>
  <si>
    <t>Abstract: The purpose of this article is to explore the formal and informal indebtedness relationships that Haitian migrants engage during their migration trajectory in Chile. Based on fieldwork conducted in 2019 in the commune of Quilicura and a series of sixteen interviews with Haitian migrants, we explore formal and informal debt relations from an ecological and moral perspective. The main results show the relevance of aid relationships among the Haitian community, which take the form of a chain of favors that commits the recipient's word and does not seek repayment of the amount owed. In turn, involvement in formal indebtedness is interrelated with informal indebtedness, in that the Haitian community's experiences with the credit market materialize in common knowledge that circulates in the community, as well as in the learning that enables them to understand the opportunities and risks of these formal credit systems. It is worth noting that few texts have analyzed migrant indebtedness from an ecological perspective that includes the transnational dimension and understands the formal and informal interrelationship of these processes.</t>
  </si>
  <si>
    <t>10.7440/antipoda43.2021.05</t>
  </si>
  <si>
    <t>Perez-Troncoso, Manuel; Mccarthy, Cameron</t>
  </si>
  <si>
    <t>Racialized Boundaries Against Haitian Immigrants in Chile: Two Case Studies</t>
  </si>
  <si>
    <t>Global; Migration; Racialized discourses; Critical discourses; Postcolonial theory</t>
  </si>
  <si>
    <t>Racism is a type of systematic power abuse by a dominant group against diverse minorities through discursive and material practices (Van Dijk, 2021). This article draws attention to the generation of racializing discourses, particularly towards the Haitian immigrant population in Chile, in (a) mass media, which mainly focuses on radio, television, and newspapers such as Radio Biobio, Chilevision, and La Tercera newspaper, and (b) government policy, as articulated in the 2018 executive order Plan Humanitarian Orderly Return (PHOR). After delineating the historical background of recent Haitian migration to Chile, authors deploy Critical Discourses Analysis (CDA) of two powerful cases of popularly mediated racializing discourses reflected in media coverage of (a) the case of a Haitian woman, Joane Florvil, who died soon after taken into police custody on a wrongful charge of abandoning her infant in 2017 and (b) the racially inflected 2018 executive order PHOR which overwhelmingly targeted Haitians for voluntary deportation. Authors consider headlines, article coverage of institutional agents and minority subjects, and state-generated documents. Informed by postcolonial thought, the study discusses current expressions of racialized boundaries in the Chilean media focusing particularly on the disciplining and regulation of migrants based on the idea of order.</t>
  </si>
  <si>
    <t>10.15366/riejs2023.12.2.007</t>
  </si>
  <si>
    <t>Perez-Trujillo, Manuel; Oyarzo Aguilar, Mauricio; Paredes Araya, Dusan</t>
  </si>
  <si>
    <t>Long-distance commuting and the effect of differentiated salary expectations in the commuters' place of living on the wage obtained in the place of working</t>
  </si>
  <si>
    <t>J01; J31; J61</t>
  </si>
  <si>
    <t>Despite the efficiency produced by long-distance commuting (LDC) as an adjustment mechanism between local labor markets, the impact that it has on the equilibrium of labor markets has not been studied in depth. This paper uses the case of Chile, since in the last two decades the LDC has increased its importance as a strategy of labor mobility for workers in this country. We demonstrate, both theoretically and empirically, that LDC generates wage differences in the labor markets that receive commuters, as a function of the market equilibrium of these workers' place of origin. These differences are not only related to labor productivity and/or employment, but also to the wage expectations of commuters in their place of origin.</t>
  </si>
  <si>
    <t>10.1007/s00168-020-00991-7</t>
  </si>
  <si>
    <t>Perez, Andrea Chamorro</t>
  </si>
  <si>
    <t>IMAGE AND EXPERIENCE: THE CARNIVAL OF ARICA AS FESTIVE SELF-REPRESENTATION</t>
  </si>
  <si>
    <t>Arica; Andean carnival; performance; image; experience and self-representation</t>
  </si>
  <si>
    <t>After the Aymara migrations from the Andes mountains to the coastal cities of the Chilean Far North, which started in the 1960s, the Andean actors not only maintained festive links with their places of origin, but they also sought to reenact their expressive manifestations (festivals, rituals, dances and music) in urban areas. In Arica, the prevalence of these processes is manifested strongly in the celebration of the Inti Ch'amampi, with the strength of the sun carnival, a celebration that has shown to be an alternative form of communication and social interaction in heterogeneous scenarios, the exploration of which calls for a revision of the invisibility and alleged timelessness of Andean actors. In this scenario, we draw on the concept of performance -as a theoretical and methodological construct-which allows us to understand these expressive practices as strategies, or cultural resources, of social and symbolic communication, through which the Andean actors seek to represent themselves at a local and cross-border public space. At the same time, we underline them as corporeal phenomena or expressions that allow the transmission and display of image, esthetic and identity reference frameworks, from the lived experience of participants: Andean dancers.</t>
  </si>
  <si>
    <t>10.4067/S0717-73562017005000002</t>
  </si>
  <si>
    <t>Pérez, Enrique Muñoz; Leiva, Jorge Alarcón; Henríquez, Susan Sanhueza</t>
  </si>
  <si>
    <t>MODERNIDAD, TOLERANCIA Y MIGRACIÓN: CONSECUENCIAS PARA LA EDUCACIÓN EN CHILE</t>
  </si>
  <si>
    <t>EDUCACAO &amp; SOCIEDADE</t>
  </si>
  <si>
    <t>Tolerance; Migration; Education; Multiculturality</t>
  </si>
  <si>
    <t>ABSTRACT: The article proposes to think again the categories of “modernity”, “tolerance” and “migration”, establishing its scope, in particular, for to education in Chile. The thesis that puts it is discussion is that the migration supposes the need to modify the relation between modernity and tolerance, which must be taken care of by the public policies in education, that they are precarious and insufficient in the Chilean case.</t>
  </si>
  <si>
    <t>144</t>
  </si>
  <si>
    <t>10.1590/es0101-73302018178659</t>
  </si>
  <si>
    <t>Perez, Miguel; Palma, Cristobal</t>
  </si>
  <si>
    <t>Migrants as subject-citizens: Identity affirmation and domestic concealment among Venezuelans living in Santiago, Chile</t>
  </si>
  <si>
    <t>CRITIQUE OF ANTHROPOLOGY</t>
  </si>
  <si>
    <t>citizenship; domestic concealment; identity affirmation; migration; residential practices; Santiago of Chile</t>
  </si>
  <si>
    <t>Over the past decade, Chile has become an important destination for Latin American and Caribbean migrants. In 2022, more than 8% of the population residing in the country were of foreign origin. Since 2018, Venezuelans have been the largest immigrant group, making up 30% of all international migrants living in Chile. This article explores how Venezuelan migrants become citizen-subjects through their residential practices, that is, through actions that symbolically construct their inhabited spaces (neighborhood and housing). Understanding citizenship as a process that implies the ethical formation of the self as a construction of new forms of belonging and political membership, we show how the daily life of these migrants is traversed by tensions surrounding their identity: while in public space they openly affirm their identity as diasporic Venezuelans, in the domestic sphere they hide said identity to accommodate an ideal of citizenship inspired by notions of civility, compliance, and moderation.</t>
  </si>
  <si>
    <t>10.1177/0308275X231157552</t>
  </si>
  <si>
    <t>From foreigners to urban citizens: autoconstruction and migration in the Santiago Metropolitan Area</t>
  </si>
  <si>
    <t>urban citizenship; migration; autoconstruction; squatter settlements</t>
  </si>
  <si>
    <t>In several metropolises of the so-called Global South, the claim for the right to live in the city has resulted in widespread processes of autoconstruction, a concept that alludes to a mode of producing the urban peripheries in which poor residents are the main agents of urbanization. Autoconstruction has made possible the emergence of new forms of citizenship in which the urban poor have generated novel spaces for civic participation through which they have turned into legitimate rights-bearers. What happens, however, when the agents of autoconstruction are immigrants demanding not only the right to housing, but also their recognition as subjects of rights in a nation-state that does not consider them citizens? This article discusses that question by ethnographically examining the case of Nueva Esperanza squatter settlement, an autoconstructed neighborhood in Colina, Santiago in which most of its residents are foreigners. We conclude that, to constitute themselves as citizens, immigrants formulate an urban type of citizenship in which the act of residing in the city turn them into rights-bearers. In such a process, these residents build ethical and political narratives through which they make sense of their desires for incorporation and belonging to the national political community.</t>
  </si>
  <si>
    <t>e3528</t>
  </si>
  <si>
    <t>10.22199/issn.0718-1043-2021-0010</t>
  </si>
  <si>
    <t>Perry M.</t>
  </si>
  <si>
    <t>British Academia's Response to the coup d'état in Chile: The Case of Academics for Chile</t>
  </si>
  <si>
    <t>academics for Chile; cold war; Coup d'état in Chile; exile; university autonomy</t>
  </si>
  <si>
    <t>This article seeks to shed light on British academia's response to the coup d'état in Chile in 1973 from a global history approach, arguing that the concern expressed from the academic world transcended the bipolarity of the global context to appeal to a cross-cutting defence of human rights and university autonomy. To this end, the Judith Hart and the Chilean Solidarity Campaign collections were reviewed in the Labour History Archive in Manchester, in addition to documents from the British Foreign and Commonwealth Office at the National Archives. The above bibliography was complemented by secondary source bibliography. © 2021 Society for Latin American Studies.</t>
  </si>
  <si>
    <t>10.1111/blar.13245</t>
  </si>
  <si>
    <t>Petryna A.; Follis K.</t>
  </si>
  <si>
    <t>Risks of Citizenship and Fault Lines of Survival</t>
  </si>
  <si>
    <t>Annual Review of Anthropology</t>
  </si>
  <si>
    <t>Citizenship; Health; Migration; Risk; Security; Survival</t>
  </si>
  <si>
    <t>This article probes the contradictions and unacknowledged risks inherent in the notion of citizenship today. We explore the possible fault lines that citizenship places on the notion of universality, namely the anthropology of contexts in which citizenship and biological self-preservation are being radically decoupled as well as the policies, techniques, and media (biological, health, juridical) through which such decoupling takes place. What concepts have anthropologists brought to the fore to address the emerging "fault lines of survival" embodied in the term citizenship? How have these concepts been taken up, becoming vehicles for resisting, or at least assessing, what has become of citizenship? Moving beyond narrowly conceptualized policy problems and calculations, this article also considers alternative pathways through which the "political" is being mobilized and through which a new politics of rescue appears. © Copyright ©2015 by Annual Reviews. All rights reserved.</t>
  </si>
  <si>
    <t>10.1146/annurev-anthro-102313-030329</t>
  </si>
  <si>
    <t>Pfleger S.</t>
  </si>
  <si>
    <t>The two sides of Mexican media framing of the migration: Danger-people and victimpeople against the Nation state; [Las dos caras del framing1 mediático de la migración en México: las personas-peligro y las personas-víctima contra el Estado-nación]</t>
  </si>
  <si>
    <t>Enaction; Identity construction; Media framing; Migration</t>
  </si>
  <si>
    <t>The goal of this contribution is to show how media framing in Mexico suppresses the phenomenological complexity of migration, in favor of staging neoliberally charged identitarian scenarios. For that purpose, we will show two of the most frequent discursive strategies in the media framing of migration in Mexico. We will also show how media presses on the sense-making processes, either towards a confrontation between migrants and their receiving nation-State or towards a nation-State defending them. This contribution confirms that media framing primarily satisfies the collective identity, and attests shared feelings of inferiority that historically have marked the relationship between Mexico and the United States. We also show how solid these polarized media frames are, in view of recent conceptual distractors, such as the 'detention of migrant children' or the 'migrant caravans'. © 2019 Universidad Pompeu Fabra. All rights reserved.</t>
  </si>
  <si>
    <t>Pineiro Aguiar, Eleder; Diz, Carlos</t>
  </si>
  <si>
    <t>Walls, racism and resistance. Human mobility on the back of the Beast</t>
  </si>
  <si>
    <t>borders; Mexico; migration; State security; violence</t>
  </si>
  <si>
    <t>In this article we discuss how racism and securitization are an integral part of global human mobility since modern times. In these times of exacerbation of vigilance and control, migrants' subjectivities and their relationship with the societies of origin, transit and destination are constantly reconstructed and deconstructed. We analyze the global fortification -walls, fences, bureaucratization- and the resistance produced by the migrants. Through a theoretical-reflective and interpretative analysis of secondary data sources -recent academic publications, documentaries, news in newspapers and forums-, we used the case study of The Beast Train, the freight train that crosses Mexico until the northern border. With the United States, as a biopolitical laboratory to understand human mobility. Raised to this train, we discuss and rethink the violence of the global border regime and the neoliberal government of migration. In conclusion, we propose certain alternatives to the capitalist regime that expels, excludes and externalizes</t>
  </si>
  <si>
    <t>Pinones-Rivera, Carlos; Munoz-Henriquez, Wilson; Rodriguez-Valdivia, Alan</t>
  </si>
  <si>
    <t>Between markets, healers and remedies. The traditional Andean healthcare network in northern Chile's cross-border area</t>
  </si>
  <si>
    <t>migration; mobility; health; informal economy</t>
  </si>
  <si>
    <t>Given the growing neo-liberalization and precariousness of the Chilean healthcare system, migrant populations in northern Chile cross borders to seek formal healthcare and make use of a traditional cross-border economy that is key to meeting their needs and demands. Based on an ethnographic study of the cross-border health mobility of indigenous Bolivians and Peruvians (Aymaras and Quechuas) from the historical region of Tarapaca (Chile) to the cities of Oruro (Bolivia) and Tacna (Peru), we show the Andean population's specific socio-spatial responses. A traditional health care network emerges where state and traditional dynamics interact to manage cross-border spatiality. This network serves as evidence of the circulatory nature of the territory and recreates traditional Andean medical knowledge in a neoliberal context characterized by structural vulnerability.</t>
  </si>
  <si>
    <t>e5008</t>
  </si>
  <si>
    <t>10.22199/issn.0718-1043-2022-0020</t>
  </si>
  <si>
    <t>Pinto Baleisan, Carolina; Cisternas Collao, Nicol</t>
  </si>
  <si>
    <t>Reflections on the use of intersectionality in migration studies in Chile</t>
  </si>
  <si>
    <t>Intersectionality; migratory studies; feminisms; Chile; racism</t>
  </si>
  <si>
    <t>The article proposes a reflection on how intersectionality has been used in recent research on migration in Chile. Turning to Latin American theorists, the political-theoretical path of the notion is exposed to argue its use as a research perspective, as well as to enunciate its explanatory value regarding South-South migrations. Based on the review of a set of articles published in indexed journals between 2014 and 2020, the authors affirm that the intersectionality in migratory studies has allowed, among others, to advance in the understanding of racism and sexualization of migrant women and girls.</t>
  </si>
  <si>
    <t>10.5354/0719-0417.2021.60866</t>
  </si>
  <si>
    <t>Pinto Baleisan, Carolina; Colin, Clément; Jeria Madariaga, Luz María</t>
  </si>
  <si>
    <t>Negociaciones en la puesta en escena del país de origen. Un estudio transnacional sobre restaurantes extranjeros en Gran Valparaíso, Chile</t>
  </si>
  <si>
    <t>Abstract The article seeks to understand how migrant families bring life to restaurants that evoke their countries of origin. These spaces and culinary proposals are not a simple reproduction, but negotiated interpretations of culture itself during migration processes and are analyzed from a transnational approach. The methodology is based on interviews and participant observations carried out in four foreign restaurants located in Greater Valparaíso, Chile. The article contributes to the production of knowledge about migrants who have capital, exploring performances, symbols, and culinary practices that selectively show their national culture. It is concluded that these restaurants can be considered bridges between cultures by linking multiple scales with imaginaries, representations, and emotions. It articulates a discussion on ethnic economies, cultural transformations, and the production of evolving migrant identities while extending studies on recent migrations in Chile.</t>
  </si>
  <si>
    <t>10.33679/rmi.v1i1.2602</t>
  </si>
  <si>
    <t>Pisarevskaya A.; Scholten P.; Kaşlı Z.</t>
  </si>
  <si>
    <t>Classifying the Diversity of Urban Diversities: an Inductive Analysis of European Cities</t>
  </si>
  <si>
    <t>Cities; Classification; Local level; Migration-related diversity; Segregation; Superdiversity; Urban</t>
  </si>
  <si>
    <t>This paper provides an empirical classification of migration-related diversities in 166 European cities. The local turn in migration studies has shown that migration-related diversity may take varied forms in different cities. Our understanding of how and why cities differ is lagging behind the wealth of existing conceptualisations. This is partly because most studies look only at one kind of city, in particular, superdiverse global cities. This paper takes a systematic inductive approach to map the diversity of migration-related diversities in urban setting and understand the reasons behind such variations. Applying quantitative classification methods to European cities in France, Germany, the Netherlands and Italy, we search for a new meaningful classification of the urban diversity configurations based on measures of volume, variety and spread of migration-related diversity. Five empirical clusters of cities of migration are found: superdiverse cities, migrant minority cities, new diversity cities, low-migration cities and non-diverse cities. Subsequently, we develop a better qualitative understanding of these clusters by examining typical cities, their economic positioning, migration history, their policy and political structures, as well as their social and geographical position. A thorough classification, we argue, is necessary to have a more differentiated view of the existing urban diversities and go beyond one-size-fits-all solutions for urban governance of migration-related diversity. © 2021, The Author(s).</t>
  </si>
  <si>
    <t>10.1007/s12134-021-00851-z</t>
  </si>
  <si>
    <t>Pizarro E.; Estrella S.; Figueroa F.; Helmke F.; Pontigo C.; Whiteford G.</t>
  </si>
  <si>
    <t>Entendiendo la justicia ocupacional desde el concepto de territorio, una propuesta para la ciencia de la ocupación</t>
  </si>
  <si>
    <t>JOURNAL OF OCCUPATIONAL SCIENCE</t>
  </si>
  <si>
    <t>identidad; justicia ocupacional; lugar; migración; territorio</t>
  </si>
  <si>
    <t>RESUMEN: Este artículo se desarrolló a partir del diálogo y la reflexión surgidos en el marco del I Seminario de Justicia Ocupacional e Inclusión Social realizado en Chile, en 2016. Este artículo se propone como una invitación a discutir la relación entre territorio y justicia ocupacional. En un primer momento se revisa el concepto de justicia ocupacional y las formas de injusticia ocupacional descritas hasta el momento. Luego se exploran cuatro elementos del concepto de territorio planteado por Gilberto Giménez (1996, 1999, 2005) y su posible aplicación para la ciencia de la ocupación, desde la perspectiva de Justicia Ocupacional. Sobre esta base se propone una nueva forma de injusticia ocupacional, que hemos denominado dislocación ocupacional. Proponemos, además, una posible aplicación de este concepto a la situación de los campamentos en Chile. Consideramos que la comprensión de la base territorial de la ocupación permite profundizar en los fenómenos que sustentan numerosas situaciones de injusticia ocupacional. © 2018, © 2018 The Journal of Occupational Science Incorporated.</t>
  </si>
  <si>
    <t>10.1080/14427591.2018.1487262</t>
  </si>
  <si>
    <t>Pizarro J.A.G.; Reyes C.L.; Turra B.E.; Varas M.L.</t>
  </si>
  <si>
    <t>DIPLOMACY AND JAPANESE MIGRATION IN CHILE: FROM THE NITRATE PROJECT TO COLONIZATION ATTEMPTS IN THE SOUTH: 1913-1930; [DIPLOMACIA Y MIGRACIÓN JAPONESA EN CHILE: DEL PROYECTO* SALITRERO A LA TENTATIVA DE COLONIZACIÓN EN EL SUR: 1913-1930]</t>
  </si>
  <si>
    <t>Chile; Chile; colonización; colonization; Japan; Japón; migración; migration; nitrate; salitre</t>
  </si>
  <si>
    <t>The Japanese migration process in the American continent is examined from Chilean diplomacy, along with two projects on migration from Japan to Chile in 1913 - 1930, analyzing the hardships involved in these arrangements by the Chilean governmental spheres. The relevance of Tokyo initiatives was posing demographic settlements in two distinct geographic areas; one of them connected with capital investments on the nitrate industry in the northern region, and the other related to pisciculture and the forest industry in the southern region. © 2021. All Rights Reserved.</t>
  </si>
  <si>
    <t>10.4067/S0719-26812021000200291</t>
  </si>
  <si>
    <t>Pizarro J.A.G.; Tello P.M.G.</t>
  </si>
  <si>
    <t>Latin American migration in a marginality situation. Camps and education in Antofagasta, 2012-2018; [Migración latinoamericana en situación de marginalidad. Campamentos y educación en Antofagasta, 2012-2018]</t>
  </si>
  <si>
    <t>Antofagasta; education; Latin American; Migration; rights</t>
  </si>
  <si>
    <t>This paper addresses the complexity of the immigration process experienced by Antofagasta Region, particularly, its capital city, Antofagasta, since 2012. In this sense, the paper focuses on four axes leading to migration visibility with effects on a national basis: 1. The characteristics of human components concerning gender, geographic origin, instructional level, and their insertion in the regional society. 2. The relationship with human rights demanded by international law and the adaptation of national regulations concerning migrants’ rights. 3. Their settlement in Antofagasta city, mainly in camps, thus leading to a housing reality different than low-class neighborhoods. 4. The dimensions for safeguarding migrant children/youth in educational matters and the use of intercultural models in primary and secondary school. © 2020. Estudios Pedagógicos. All Rights Reserved.</t>
  </si>
  <si>
    <t>10.4067/S0718-07052020000200359</t>
  </si>
  <si>
    <t>Pizarro J.A.G.; Varas M.L.; Ibaceta C.G.</t>
  </si>
  <si>
    <t>Mujeres latinoamericanas en el mercado laboral de Antofagasta durante el ciclo salitrero, 1880-1930</t>
  </si>
  <si>
    <t>Argentinians; Bolivians; Migration; Nitrate; Peruvians</t>
  </si>
  <si>
    <t>Pizarro-Galleguillos P.; Calderón-Orellana M.</t>
  </si>
  <si>
    <t>Diversity Climate and Perception of Inclusion in a Chilean Company: Spanish Adaptation of Mor Barak Scales</t>
  </si>
  <si>
    <t>International Journal of Organizational Diversity</t>
  </si>
  <si>
    <t>Chile; Diversity Climate; Inclusion; Linguistic Adaptation; Mor Barak Scales</t>
  </si>
  <si>
    <t>Diversity climate and perception of inclusion have been studied in different contexts, but not in Spanish-speaking countries, where research on diversity and inclusion in organizations is limited despite its relevance. Thus, a Spanish adaptation of Mor Barak Scales was carried out, which was applied to workers of a Chilean retail company in order to assess the effect of diversity climate on perception of inclusion. Through inferential statistics, evidence was found to support the Spanish version of the scales and the and the diversity and inclusion model of Mor Barak, allowing Spanish-speaking organizations access to important tools to advance in diversity management. Finally, global challenges related to diversity and inclusion are discussed. © Common Ground Research Networks, Pía Pizarro-Galleguillos, Magdalena Calderón-Orellana, All Rights Reserved.</t>
  </si>
  <si>
    <t>10.18848/2328-6261/CGP/v22i02/51-66</t>
  </si>
  <si>
    <t>Poblete Melis, Rolando</t>
  </si>
  <si>
    <t>Políticas Educativas y Migración en América Latina: aportes para una perspectiva comparada</t>
  </si>
  <si>
    <t>social rights; migrant children; inclusive education</t>
  </si>
  <si>
    <t>ABSTRACT: The right to education constitutes a significant area for the work with migrant children, as it includes many possibilities for inclusion and social cohesion in host societies. In the Latin American context there is no common operational structure linked to the exercise and guaranteeing of this right. In this framework, the aim of this article is to analyse, in comparative terms, the legislative and political mechanisms that guarantee the right to education for migrant boys, girls and adolescents in Chile, Argentina, Uruguay, Costa Rica and Colombia. Through a documentary analysis of international conventions, laws and policies, it was found that although there are common principles on an ethical level, in political terms there is a considerable difference in the way the right to education is approached, which can have consequences when it is fully applied.</t>
  </si>
  <si>
    <t>Poblete Melis, Rolando; Galaz Valderrama, Caterine</t>
  </si>
  <si>
    <t>Aperturas y cierres para la inclusión educativa de niños/as migrantes en Chile</t>
  </si>
  <si>
    <t>migration; right to education; schooling; access; discrimination</t>
  </si>
  <si>
    <t>The increase in the foreign population demanding education services in Chile has made it necessary to address political issues to enable their access to the educational system; however, schools have also had to develop strategies to attain inclusion. The aim of the research behind this article was to discover, through a qualitative methodology, the trajectory towards the educational inclusion of migrant boys and girls that took place in four elementary and one high school in the city of Santiago, identifying the factors that favor and hinder this process, including their access to the educational system and the relations that are established within schools. Some of the main discoveries of this research include problems related to the condition of irregular migration -which affects access to the benefits of the educational system- and also tensions in the relations between Chilean and foreign students, which can lead to situations of bullying.</t>
  </si>
  <si>
    <t>Ponce Lara, Camila</t>
  </si>
  <si>
    <t>Migrant Trajectories: Dynamics and Subjectivities of Colombian and Haitian Migrants in the Coquimbo Region, Chile</t>
  </si>
  <si>
    <t>E-LATINA-REVISTA ELECTRONICA DE ESTUDIOS LATINOAMERICANOS</t>
  </si>
  <si>
    <t>migration; interculturality; inclusion; racism; Coquimbo</t>
  </si>
  <si>
    <t>.is article analyzes migratory trajectories developed by Colombian and Haitian citizens in the Coquimbo Region. Moreover, it seeks to understand the general migratory dynamics currently experienced in Chile. The methodological proposal uses official data published by the Office of Extranjeria y Migracion of the Interior Ministry of Chile. Furthermore, it is based on interviews with Colombian and Haitian migrants living in the Coquimbo region. The interviews are focused on inquiring about individual trajectories. The results of this research show the main motivations of migrants to move to Chile, the difficulties they have to surpass, and the adaptation strategies they need to develop. Also, it shows the main obstacles for the creation of mechanisms that allow inclusion and interculturality in Coquimbo.</t>
  </si>
  <si>
    <t>Poudel D.P.</t>
  </si>
  <si>
    <t>Migration, forest management and traditional institutions: Acceptance of and resistance to community forestry models in Nepal</t>
  </si>
  <si>
    <t>Community forestry; Migration; Nepal Himalaya; REDD+; Resistance; Traditional management</t>
  </si>
  <si>
    <t>Although studies on Community Forestry (CF) have been focused on what makes a CF model sustainable and how it can achieve success, CF lacks study on why a community accepts or resists a model. This study explores the reason why some CF models are accepted and others are resisted by communities by studying two different types of CF model in Nepal – Community Forestry User Groups and Conservation Area Management Committees. Based on household surveys, semi-structured interviews and historical analysis, such variations in local acceptance have been examined on the basis of the following three hypotheses: the variation in local acceptance is due to increasing out-migration and the subsequent decreasing use of community-managed forests for livelihoods, the variation is due to the management arrangements of the CF models themselves, and the variation is due to the persistence of traditional practices of forest use. The article ultimately finds that an acceptance of or resistance to a CF model cannot be explained solely by relying on the migration of users and their decreasing dependency on the forests. Rather, in addition to reducing active leadership, out-migration prevents local participation in the design and implementation of new forestry institutions, and therefore makes an institution vulnerable and increases the risk of accepting a CF model. Moreover, a CF model that has wider institutional flexibility in terms of rules and rights can succeed in incorporating villagers’ priorities, and can thus enjoy enhanced local acceptance. Finally, the persistence of traditional institutions with the ability to impose sanctions on forest uses can resist to a formally designed CF model. As the government of Nepal is revising forestry legislation in the context of climate change and REDD+, the findings may provide knowledge for the sustainability of emerging forestry governance practices. © 2019 Elsevier Ltd</t>
  </si>
  <si>
    <t>10.1016/j.geoforum.2019.09.003</t>
  </si>
  <si>
    <t>Prada J.</t>
  </si>
  <si>
    <t>Understanding studentification dynamics in low-income neighbourhoods: Students as gentrifiers in Concepción (Chile)</t>
  </si>
  <si>
    <t>URBAN STUDIES</t>
  </si>
  <si>
    <t>Chile; gentrification; peripheral neighbourhoods; studentification</t>
  </si>
  <si>
    <t>The studentification of neighbourhoods in university towns is a topic addressed in several studies, together with its varied effects. However, there are no contributions to this issue from the Latin American sphere, where the increase in the student population in recent decades constitutes one of the main sociodemographic changes of the region. This article analyses and interprets the changes produced in a marginal area, the neighbourhood of Agüita de la Perdiz (Concepción, Chile), as a consequence of the arrival of university students. From the application of a methodology that combines the use of quantitative and qualitative data, results obtained confirm the existence of some transformations similar to other case studies, together with other particular ones, explainable by the socially peripheral character and the informal origin of the neighbourhood analysed. Likewise, the quality of the Chilean university system would suppose segregation between students with more or less resources at the time for looking at lodging, so the profile of the students who stay in the neighbourhood is well defined. The conclusions indicate an emerging type of gentrification whose trigger was the arrival of students; an improving of the image of the neighbourhood is also observed in parallel to a deterioration of neighbourhood links. The study of this case contributes with new elements on the varied and dynamic effects of studentification in ‘peripheral’ urban contexts. © Urban Studies Journal Limited 2019.</t>
  </si>
  <si>
    <t>10.1177/0042098018807623</t>
  </si>
  <si>
    <t>Prada-Trigo J.</t>
  </si>
  <si>
    <t>University students and their importance in the neighborhood changes: Toward new models of gentrification in peripheral spaces?; [Estudiantes universitarios y su importancia en los cambios barriales: ¿hacia nuevos modelos de gentrificación en espacios periféricos?]</t>
  </si>
  <si>
    <t>Boletin de la Asociacion de Geografos Espanoles</t>
  </si>
  <si>
    <t>Chile; City; Gentrification; Neighborhood changes; Students</t>
  </si>
  <si>
    <t>This article analyzes and interprets the changes produced in the neighborhood of Agüita de la Perdiz (Concepción - Chile), as a consequence of the arrival of university students to it. Although Anglo-Saxon studies have shown in recent years the importance of the so-called studentification processes as triggers of physical, social, economic and cultural changes in the neighborhoods, assimilating them at times to global manifestations of the gentrification process, are scarce the studies from other socio-spatial contexts. Based on these premises, this paper analyzes this phenomenon through a methodology that combines the use of quantitative and qualitative data, obtaining results that confirm the existence of some transformations that also occur in other cases of study, along with other particular ones, explainable by the own singularity of the neighborhood and identifiable with the socially peripheral character and the own informal origin of the case analyzed. © 2019 Asociacion de Geografos Espanoles. All rights reserved.</t>
  </si>
  <si>
    <t>10.21138/bage.2683</t>
  </si>
  <si>
    <t>Prada-Trigo J.; Barra-Vieira P.; Aravena-Solís N.</t>
  </si>
  <si>
    <t>Long-distance commuting and real estate investment linked to mining: The case study of Concepción metropolitan area (Chile)</t>
  </si>
  <si>
    <t>Chile; Copper mining; Long distance commutation; Metropolitan area; Real estate investment; Urban growth</t>
  </si>
  <si>
    <t>This manuscript discusses a little-studied aspect of mining-related long-distance commutation, such as the real estate investments of its workers in their home cities. Based on surveys conducted with miners and interviews with local experts, this work analyzes this issue specifically in Concepción, Chile. This city would act as a hinge for labor migration, which will translate into a return on investment that would greatly strengthen the housing market. The results indicate that mining emerges as a facilitator of acquisitions for first-time homeowners, something that is linked to public subsidies. This contrasts with the traditional image of miners as large investors and highlights the importance of public policies for the emergence of real estate growth linked to mining in Chilean regions. © 2020 Elsevier Ltd</t>
  </si>
  <si>
    <t>10.1016/j.resourpol.2020.101973</t>
  </si>
  <si>
    <t>Prieto J.</t>
  </si>
  <si>
    <t>Degrees of vulnerability to poverty: a low-income dynamics approach for Chile</t>
  </si>
  <si>
    <t>Journal of Economic Inequality</t>
  </si>
  <si>
    <t>Chile; Latin America; Longitudinal data; Middle class; Poverty dynamics; Vulnerability to poverty</t>
  </si>
  <si>
    <t>I propose an empirical framework to identify different degrees of vulnerability to poverty using two vulnerability lines that classify currently non-poor people into risk groups: high, moderate and low risk of falling into poverty in the next period. The latter corresponds to the income secure middle class. My approach makes two contributions. First, it extends recent research that defines the middle class using a vulnerability threshold by introducing a new subdivision of the vulnerable group that would be useful in practice for public policy objectives. Second, it uses two models to predict both the probability of entering poverty and household income as part of the estimation procedures. The former controls for initial conditions effects and attrition bias, and the latter addresses the retransformation problem. I apply my approach to Chile using longitudinal data from the P-CASEN 2006–2009. The resulting vulnerability cut-offs (using the upper-middle-income country poverty line) are $20.0 per person per day for the low vulnerability line and $9.9 pppd for the high vulnerability line (both in 2011 PPP). My vulnerability lines differ significantly from those estimated in previous research on vulnerability and the middle class in Latin America. I argue that previous research has underestimated the size of the population at risk of falling into poverty and overestimated the growth of the middle class. Misclassifying the vulnerable as middle class limits their access to anti-poverty policies. © The Author(s) 2024.</t>
  </si>
  <si>
    <t>10.1007/s10888-023-09611-8</t>
  </si>
  <si>
    <t>Prša A.</t>
  </si>
  <si>
    <t>THE BODILY AMBIGUITY OF SOCIAL REPRODUCTION: NAVIGATING BODY WORK IN MIGRANT ELDERCARE; [Višeznačnost rukovanja tijelom u društvenoj reprodukciji: izazovi tjelesnog rada za migrantske njegovateljice starijih osoba]</t>
  </si>
  <si>
    <t>Sociologija</t>
  </si>
  <si>
    <t>body work; Central and Eastern Europe; eldercare; migration; neoliberalism</t>
  </si>
  <si>
    <t>The aim of this paper is to show the systematic relevance of corporeal features of care by drawing upon the experiences of Croatian eldercare workers employed in Austrian and German households through a live-in programme which has recently become a common way of employment for the women coming from the impoverished regions of Europe. Even when eldercare is discussed in the context of growing migration flows, its daily performance and somatic components have rarely been taken seriously enough and productively linked to the global movements. Therefore, the caregivers’ experiences are analysed here by relying on the scholarship on ‘body work’ (activities having human body as working material), which are then contextualised within the larger socio-economic environment of neoliberalism. Since live-ins not only point to, but also ‘solve’ systematic contradictions in organizing eldercare (e.g., the gap between the desired image of caring environment and practical conditions) – by either covering up the empty spot left by potential providers of care or extending the quality of that care – I argue that attentiveness to the details of the bodies being worked upon is one point of departure from which micro and macro can be analysed in a close correlation to each other, providing a novel bodily insight into world economic restructuring. © 2022, Sociological Association of Serbia. All rights reserved.</t>
  </si>
  <si>
    <t>10.2298/SOC2204584P</t>
  </si>
  <si>
    <t>Prudant, Elisabet</t>
  </si>
  <si>
    <t>Maternity and mobility: immigrant women and their ambulant sales in the pages of Buenos Aires illustrated magazines, 1898-1918</t>
  </si>
  <si>
    <t>ANTITESES</t>
  </si>
  <si>
    <t>Mobility; Maternity; Immigration; Female street vendor; Gender representations</t>
  </si>
  <si>
    <t>The article analyzes the speeches and representations that operated behind the maternalization of immigrant women who served as street vendors in the pages of two illustrated magazines commercialized in Buenos Aires at the turn of the 19th to the 20th century: Caras y Caretas, and PBT. In the itinerant bodies of these women, exposed to the representational exercise that awoke their double trajectory of mobility - transatlantic migration and wandering daily through the streets of the Argentine capital - the primary function was inscribed to them by the State in the construction of the nation: being mothers of future citizens. Its origin, reproductive role and the precariousness in which they lived inside the metropolis, were the filters from which magazines make known the significant potential of their incursion into public space as informal workers. The article seeks to elucidate the mechanisms through which patriarchal discourse and its correlation of ethnicity and class, femininity representations were disseminated in certain print media that relate the experience of the sales women with the cultural project that accompanied the formation of the nation in Argentina. Methodologically, the proposed analysis, based on the historical approach with a gender perspective, reconstructs the characteristics attributed to the street sales women, through a detailed study of the images and texts referenced by the magazines Caras y Caretas (1898-1920) and PBT (1904-1918).</t>
  </si>
  <si>
    <t>10.5433/1984-3356.2019v12n24p459</t>
  </si>
  <si>
    <t>Prunier D.M.; Salazar S.</t>
  </si>
  <si>
    <t>Central American borders and mobility in 2020. A region of fractures and inequalities impacted by covid-19; [Fronteras centroamericanas y movilidad en 2020. Una región de fracturas y desigualdades impactada por el covid-19]</t>
  </si>
  <si>
    <t>Borders; Central America; COVID-19; Migration; Mobility</t>
  </si>
  <si>
    <t>The article presents a regional perspective on the effects of the COVID-19 pandemic in 2020, with emphasis on the state measures deployed by Central American governments and their impacts. Recovering key elements of the socio-territorial history of the region, and based on a description of border and mobility dynamics in the context of the pandemic, some priority points of analysis are identified in order to propose future lines of academic reflection on the region. The argumentation is based on both academic and news sources and other systematization inputs by social organizations that have emerged in the heat of the crisis. It is concluded that the effects of the pandemic on borders and circulation dynamics should be interpreted in future works in the light of long-standing conflicts and historical cleavages in the region, with emphasis on the aporetic relations between democracy-authoritarianism, accumulation-dispossession and mobility-control. © 2021, Universidad Autonoma de Baja California. All rights reserved.</t>
  </si>
  <si>
    <t>10.21670/ref.2110073</t>
  </si>
  <si>
    <t>Puertas, Ruben Rodriguez; Galende, Alexandra Ainz</t>
  </si>
  <si>
    <t>Our Life Is Not Here: Migration and Return of Young Spaniards Living in Chile</t>
  </si>
  <si>
    <t>SOCIAL SCIENCES-BASEL</t>
  </si>
  <si>
    <t>acculturation; adaptation; Chile; migrant; Spanish migration</t>
  </si>
  <si>
    <t>With the aim of understanding the recent migration processes of young Spaniards settled in Chile, the present paper analyzes, on the one hand, how these young people experience their arrival and establishment in said Latin American country and, in the other hand, how the process of returning and readjusting to Spanish society takes place. For that, and following the procedures of the Grounded Theory, the discourses of 37 Spanish migrants obtained through in depth interviews were analyzed: 22 of them are living in Chile and the other 15 returned to Spain after spending a long period in Chilean society and have been living in Spain for at least one year since then. All of them have university degrees, are between 25 and 35 years old, and arrived in Chile between 2013 and 2018. This qualitative study shows the way in which these migrants experience their sociocultural integration in Chilean society, which could be typified as nostalgic since it is characterized by the idealization of and the longing for their society of origin. Another key characteristic is the eventual return to the country of origin, in which the desynchronization they experience is especially remarkable: after a long period abroad, they feel disconnected from the transformations that have taken place in their original environment, which leads them to experience a difficult process of readjustment to Spanish society that sometimes is even more complex than that experienced abroad.</t>
  </si>
  <si>
    <t>10.3390/socsci10080293</t>
  </si>
  <si>
    <t>Pugh J.D.</t>
  </si>
  <si>
    <t>The invisibility bargain: Governance networks and migrant human security</t>
  </si>
  <si>
    <t>The Invisibility Bargain: Governance Networks and Migrant Human Security</t>
  </si>
  <si>
    <t>Colombian; Ecuador; Human security; Integration; Latin america; Migration; Network; Political participation; Protection; Refugee</t>
  </si>
  <si>
    <t>In an era of mass migration and restrictive responses, this book seeks to understand how migrants negotiate their place in the receiving society and adapt innovative strategies to integrate, participate, and access protection. Their acceptance is often contingent on the expectation that they contribute economically to the host country while remaining politically and socially invisible. These unwritten expectations, which this book calls the “invisibility bargain, " produce a precarious status in which migrants’ visible differences or overt political demands on the state may be met with a hostile backlash from the host society. In this context, governance networks of state and nonstate actors form an institutional web that can provide access to rights, resources, and protection for migrants through informal channels that avoid a negative backlash against visible political activism. This book examines Ecuador, the largest recipient of refugees in Latin America, asking how it has achieved migrant human security gains despite weak state presence in peripheral areas. The key finding is that localities with more dense networks composed of more diverse actors tend to produce greater human security for migrants and their neighbors. The argument has implications beyond Ecuador for migrant-receiving countries around the world. The book challenges the conventional understanding of migration and security, providing a fresh approach to the negotiation of authority between state and society. Its nuanced account of informal pathways to human security dismantles the false dichotomy between international and national politics, and it exposes the micropolitics of institutional innovation. © Oxford University Press 2021.</t>
  </si>
  <si>
    <t>10.1093/oso/9780197538692.001.0001</t>
  </si>
  <si>
    <t>Pujols Molero, Hector</t>
  </si>
  <si>
    <t>POLITICAL-ELECTORAL PARTICIPATION OF FOREIGNERS RESIDENT IN CHILE (2016-2020)</t>
  </si>
  <si>
    <t>Citizenship; Migration; Suffrage; Participation; Chile</t>
  </si>
  <si>
    <t>Since the creation of the modern State, electoral participation has typically been a space reserved for nationals of the State in question.Thus, citizenship, national identity, and nationality have been vague terms and sometimes used synonymously throughout the centuries. In the current context, migrations stress these key concepts for the construction of our political communities.The case of Chile, where the right to vote for foreign residents is guaranteed since the 1980 Constitution, allows us to delve into their electoral behavior, both in their electoral participation and the percentage of qualified persons. On the other hand, and despite being a right guaranteed by the Constitution itself, like any right, it is in constant tension, especially now that Chile's constitutional process has just begun with the plebiscite of October 2020.</t>
  </si>
  <si>
    <t>10.35004/raep.v10i1.181</t>
  </si>
  <si>
    <t>Pulido J.S.</t>
  </si>
  <si>
    <t>Social justice as a moral and normative framework for social intervention with migrant citizens</t>
  </si>
  <si>
    <t>BRAZILIAN JOURNAL OF OCCUPATIONAL THERAPY</t>
  </si>
  <si>
    <t>Everyday Life; Migration; Occupations; Recognition; Social Intervention; Social Justice</t>
  </si>
  <si>
    <t>Theoretical analysis of Fraser's and Honneth's critical perspectives on social justice is made, presenting their relationship with migration as a current social phenomenon; also, the different social problems faced by migrants, which require normative and moral frameworks that promote social recognition through social participation in the spaces of daily life. At the same time, the different types of justice (distributive and recognition) are presented as the theoretical basis for the design of intervention devices to reduce the social gaps that originate from social injustices: discrimination, xenophobia, and racism experienced by migrants in the social contexts of arrival and which are exacerbated by the lack of distribution, political participation, and recognition. It is concluded that it is necessary to incorporate the framework of social justice in social intervention practices from a perspective centered on the subjects and the context in which they carry out their daily lives and occupations. © 2022 Universidade Federal de Sao Carlos. All rights reserved.</t>
  </si>
  <si>
    <t>10.1590/2526-8910.ctoAR232230662</t>
  </si>
  <si>
    <t>Qamar A.H.</t>
  </si>
  <si>
    <t>RESEARCHING SOCIAL RESILIENCE IN THE CONTEXT OF MIGRANTS’ LIFE TRANSITION: A QUALITATIVE METHODOLOGICAL MOSAIC; [Исследование социальной устойчивости в контексте переходного периода в жизни мигрантов: мозаика качественных методов]</t>
  </si>
  <si>
    <t>Psychology, Journal of the Higher School of Economics</t>
  </si>
  <si>
    <t>Interdisciplinary qualitative research; lived experiences; methodological mosaic; migration; participant-friendly methods; phenomenology; social resilience; triangulation</t>
  </si>
  <si>
    <t>Migration is a psychosocial challenge, and migrants' transitory experiences in host countries are shaped by a combination of linked environmental factors. The absence of social aspects of resilience, as well as disciplinary limitations and biases, hinder the methodological rigor and flexibility needed to investigate social resilience as a phenomenon that occurs at the intersection of social, cultural, and political environments. Based on the social constructionist perspective, this paper identifies the need for a methodological mosaic and proposes a methodological guideline to investigate social resilience among migrants embedded in a multi-layered environment and person-environment interaction. The proposed methods include participant observation, biographical interviews, resilience diaries, focus groups, participants’ workshops, and expert conferencing. The inclusion of participant-friendly methods provides a space to listen to the voices of participants across the margins, and to engage experts and social workers in a participant-centered data examination. The concept of using a methodological mosaic in social resilience and migration studies provides a solid foundation for conducting multidisciplinary social science research. It gives the freedom to engage experts from various disciplinary backgrounds and benefits from diverse perspectives to connect the methodological pieces. The methodological mosaic described in this paper can be used to advance interconnected and participant-friendly data collection strategies and to gain a holistic understanding of migrants’ lived experiences. The paper, though a methodological proposal, contributes to broadening the methodological scope and integration in migration studies. © 2023 National Research University Higher School of Economics. All rights reserved.</t>
  </si>
  <si>
    <t>10.17323/1813-8918-2023-4-796-813</t>
  </si>
  <si>
    <t>Quezada, Gabriela; Rivera-Vargas, Pablo; Fardella, Carla</t>
  </si>
  <si>
    <t>Reactions and approaches of educational policies to migratory flows: A comparative review of the cases of Chile and Catalonia</t>
  </si>
  <si>
    <t>educational policy; foreign students; migration and education; inclusion; Chile; Catalonia; documentary study</t>
  </si>
  <si>
    <t>This article presents the results of a research study aimed to explore and analyze the configuration process and current situation of educational policies for foreign students in Chile and the Autonomous Community of Catalonia. From a qualitative approach, and based on a comparative documentary study, an integral vision of the scenario of policies and instruments of public action for the schooling of foreign students was built in both contexts. The results show more contrasts than similarities. Among the differences, the different configuration processes of these actions are highlighted, where the evolution of the migratory phenomenon and the characteristics of their political and educational systems influence. They also contrast the areas addressed by these actions and the ways in which inclusive education for foreign students is materialized. The most relevant similarity is the incorporation of inclusive education and intercultural education as central approaches of both educational systems and of the actions in favor of the schooling of these students. The value of the comparative study lies in the extensive and in-depth look at the development of educational policies and public action instruments to address the accelerated flow of migrants in school systems.</t>
  </si>
  <si>
    <t>10.14507/epaa.29.6267</t>
  </si>
  <si>
    <t>Quezada, Ricardo Gaete</t>
  </si>
  <si>
    <t>Migratory crisis in northern Chile. Information frames of the regional press</t>
  </si>
  <si>
    <t>COVID-19; humanitarian crisis; media; migration; Theory of Framing</t>
  </si>
  <si>
    <t>The article analyzes the migratory crisis that occurred in the Tarapaca Region in Chile during the COVID-19 pandemic, considering the perspective of the informative frames that are used by the regional media. The study was developed from a qualitative research perspective, through a content analysis of the news on the displacement of the migrant population to the north of Chile, published by four Chilean regional newspapers during 2020. The results show that the main frame of the information related to the problem examined is that of attribution of responsibility, concluding that the role of national, regional and local government authorities becomes the main focus of attention of the news on the humanitarian and health effects of the crisis.</t>
  </si>
  <si>
    <t>e100</t>
  </si>
  <si>
    <t>10.21670/ref.2216100</t>
  </si>
  <si>
    <t>Quiroga M.M.</t>
  </si>
  <si>
    <t>Is the low electoral turnout of indigenous people a myth? Evidence from subnational elections in Chile, 2012-2017</t>
  </si>
  <si>
    <t>Journal of Ethnic and Cultural Studies</t>
  </si>
  <si>
    <t>Chile; Electoral turnout; Mapuche; Representation; Subnational elections</t>
  </si>
  <si>
    <t>Abundant evidence exists of the low electoral turnout of indigenous people. Among the reasons that explain this result are the weakness of political parties in representing indigenous people, the economic circumstances of ethnic minorities, and their experiences of discrimination. In general, these findings are based on analyses of national elections, and it is unclear if they hold equally at the subnational level. This study of the Mapuche ethnic group in Chile analyzed the electoral turnout in Chile’s 345 municipalities for the national elections of 2013 and 2017 and the subnational elections of 2012 and 2016. The study found the following. First, the electoral turnout in municipalities with the highest concentration of Mapuche is above the average for subnational elections and comparable to the average for national elections. Second, the electoral turnout in these municipalities increases in those subnational elections in which candidates with Mapuche surnames compete. Third, the electoral turnout increases even more in those municipalities in which Mapuche mayoral candidates win in subnational elections. © 2021, Florida Gulf Coast University. All rights reserved.</t>
  </si>
  <si>
    <t>10.29333/ejecs/605</t>
  </si>
  <si>
    <t>Quiroga M.M.; Peyrin C.L.</t>
  </si>
  <si>
    <t>The effect of the candidates' Age on electoral turnout rate. The case of Chile; [El efecto de la edad de los candidatos sobre la participación electoral. El caso de Chile]</t>
  </si>
  <si>
    <t>Age; Candidates; Chile; Class-biased; Elections; Electoral turnout</t>
  </si>
  <si>
    <t>Introduction: We evaluate the effect of candidates age on the variations of the electoral turnout according to the age range. Materials and Methods: We used the 2013 Chilean legislative elections as a case-study. Based on a multivariate linear regression model, we measure the effect of the candidates age on the electoral turnout. Results: We conclude that presence of young candidates (aged 30 or younger) increase electoral turnout from 18 to 29 voters , being irrelevant in voters aged from 30 to 59, and discouraging participation in voters aged 60 or older. Discussion: We suggest this effect is not homogeneous according to the levels of communal poverty. The presence of young candidates increases electoral turnout only in communes with poverty levels equal to or below average. © 2019, Universidade Federal do Parana.</t>
  </si>
  <si>
    <t>10.1590/1678-987319277106</t>
  </si>
  <si>
    <t>Radel, Claudia; Carte, Lindsey; Johnson, Richard L.; Schmook, Birgit</t>
  </si>
  <si>
    <t>Emotions and gendered experiences of livelihood migration: memos from Nicaragua and Guatemala</t>
  </si>
  <si>
    <t>Climate change; emotional geographies; intersectionality; labor migration; smallholder agriculture</t>
  </si>
  <si>
    <t>With increasingly difficult conditions for smallholder agricultural production, labor migration is an essential component of livelihoods for many rural families in the Global South. This migration is gendered and is often normalized as part of households' livelihood portfolios. Yet it also can reproduce livelihood precarity and help maintain underlying structural inequalities. The role of labor migration as a livelihood strategy therefore requires continued research attention. Livelihood processes, including those connected to gendered labor migration, are infused with and shaped by a variety of emotions, including stress, longing, suffering, or contrastingly, aspiration, exhilaration, wellbeing, or happiness, that are experienced intersectionally. In this Viewpoint, we present our perspective that excluding analysis of emotional experience imperils comprehension of the drivers, motivations, and impacts of growing livelihood migration and other gendered livelihoods shifts. Emotions are core to migration decision-making, impact, and experience and therefore are central to any holistic understanding of the migration-livelihoods nexus. Paying attention to the role of emotion at the livelihood-migration nexus, where emotions often take center stage, is also a helpful entree for taking both affect and intersectionality more seriously in the broader context of gendered livelihoods in general. We have developed this perspective while conducting fieldwork for research on labor migration and environmental change in Guatemala's Pacific lowlands and Nicaragua's northwest and draw upon that fieldwork to make our case.</t>
  </si>
  <si>
    <t>10.1080/0966369X.2023.2249251</t>
  </si>
  <si>
    <t>Radel, Claudia; Schmook, Birgit; Carte, Lindsey; Mardero, Sofia</t>
  </si>
  <si>
    <t>Toward a Political Ecology of Migration: Land, Labor Migration, and Climate Change in Northwestern Nicaragua</t>
  </si>
  <si>
    <t>WORLD DEVELOPMENT</t>
  </si>
  <si>
    <t>livelihood diversification; double exposure; drought; environmental migration; neoliberalism; political economy; south-south migration</t>
  </si>
  <si>
    <t>Smallholder labor migration and its relationship to climate change adaptation has received increasing attention, with migration often represented either as part of successful adaptive livelihood diversification or as symptomatic of a lack of in-place adaptive capacity. Using a case study, we focus on the relationship between labor migration, agrarian livelihood diversification, and climate change to further a more nuanced understanding of migration as adaptation than is implied by a simple dichotomy of success versus failure. Smallholder diversification, both on- and off-farm, has largely been framed as a risk spreading practice that lowers climate change vulnerability. But after decades of advocating livelihood diversification, with labor migration now increasingly a part of smallholder livelihood activities, it is urgent to pose a number of questions: Why do smallholders migrate? How does labor migration unfold for them and with what outcomes? Our primary goal here is to explore the nature of the relationship of labor migration to climate change and climate change adaptation. Through empirical fieldwork in northwestern Nicaragua, we explore the role of labor migration in smallholder household production and reproduction, as families confront increasingly difficult climatic conditions for agricultural production and a relative absence of the state within a neoliberal political economy. Our analysis draws on household surveys and qualitative interviews and focus groups we carried out in the municipality of Somotillo, in northwestern Nicaragua, over three years (2013-15). Our findings demonstrate that household labor migration neither facilitates adaptation to climate change nor reflects a failure to adapt, but rather reflects the weak position of smallholders in interlocking relations of power and the relative land scarcity experienced by many. We argue that labor migration barely maintains semi-subsistence agricultural production and reinforces existing social inequalities, raising questions regarding a conceptualization of migration as adaptation and the benefits of this type of livelihood diversification. (C) 2017 Elsevier Ltd. All rights reserved.</t>
  </si>
  <si>
    <t>10.1016/j.worlddev.2017.04.023</t>
  </si>
  <si>
    <t>Radley, Chantal</t>
  </si>
  <si>
    <t>The transformation of UK Chilean diaspora space: new Chilean migrants and encounters across time</t>
  </si>
  <si>
    <t>Chile; diaspora; exile; migration; transnationalism</t>
  </si>
  <si>
    <t>The Chilean diaspora space in the United Kingdom has been transformed over its 50-year existence. From its origins as a diaspora born of political conflict and the arrival of Chilean exiles during the dictatorship, it has evolved into an altogether more diverse arena. New migrants with different interests and agendas have unsettled the delicate balance of exile life, and the impact of the clash of different histories in this diaspora space remains unknown. Although the experience of Chilean exiles has been actively studied, new empirical data introduces the existence of a much broader diaspora than that portrayed in the literature. The UK space of the Chilean diaspora has been radically altered through the diverse interests that the new cohorts bring and the organizations that reflect these new forms of interaction, as well as the divisive issues of past and present conflict that highlight the unresolved nature of the long-term experience of exile.</t>
  </si>
  <si>
    <t>10.1111/glob.12486</t>
  </si>
  <si>
    <t>Raimundo, Ines M.</t>
  </si>
  <si>
    <t>THE VICIOUS CYCLE OF FORCED DISPLACEMENTS AND THE FORMATION OF INCOMPLETE SPACES IN MOZAMBIQUE</t>
  </si>
  <si>
    <t>GEO UERJ</t>
  </si>
  <si>
    <t>Migrations; Internally Displaced Persons; Refugees; incomplete spaces</t>
  </si>
  <si>
    <t>This article is based on various studies undertaken by the author on Forced Migrations in Mozambique and it introduces to the radiography of a country, which has brought forth housing spaces deemed incomplete, that have resulted from a combination of political-military tensions, natural disasters, development projects and international migration trends. Mozambique is a Southern African country, located in the southern East side of the continent. The Channel of Mozambique lies in east coast limit zone of Mozambique in an extension of 2700Km stretch. Since its independence from Portugal in 1975, the country has undergone through some significant metamorphoses in its geographical territorial space, originated by cyclical natural disasters, political and military events; social and economic factors that hindered development and made people not realize the true meaning of sedentary, as there is an emergency call towards Internally Displaced persons and refugees. It is on record that upon its independence, the country adopted a hospitable policy of hosting people that were escaping from oppressive regimes such as the likes of Chile, former Southern Rhodesia (currently Zimbabwe), East Timor and South Africa. Due to geographical location factors and the fact that the country enjoyed military peace between 1992 and 2013, Mozambique played an important role in hosting asylum seekers and refugees from the Region of Great lakes of Africa and the Horn of Africa, apart from investors and those who pretended to be investors, the country saw an influx of people from different parts of the world, Africa being the main contributor, Middle East, Europe, China, North America and Brazil have contributed to the spatial shape of Mozambique. It is important to refer that the immigrant population and those that are fleeing rarely fixe their roots in hosting countries. The reason being, it is possible to observe in all national territory the existence of places which reflects the reminiscent of a war thorn scenario, which either construction buildings are not yet concluded or are partially destroyed. The example of such, for instance the City of Xai-Xai in Southern Mozambique, with the heavy sand project, the province of Sofala and the unfinished Sugar plantation project while in Mandimba district in northern Mozambique, a place filled with ruins. The development projects in course reflect without a doubt the emergency character of a country with never-ending conflicts and under reconstruction. It is about a vicious cycle that along time remained an obstacle in allocating, housing spaces for construction purposes and for that I call incomplete spaces or unfinished spaces.</t>
  </si>
  <si>
    <t>e53912</t>
  </si>
  <si>
    <t>10.12957/geouerj.2020.53912</t>
  </si>
  <si>
    <t>Rain Rain, Alicia; Pujal i Llombart, Margot; Mora Malo, Enrico</t>
  </si>
  <si>
    <t>MAPUCHE WOMEN IN THE DIASPORA AND THE RETURN TO THE WALLMAPU: BETWEEN COLONIAL SPOLIATION AND MICRO-RESISTANCE IDENTITY</t>
  </si>
  <si>
    <t>Colonial continuity; domestic service; Mapuche women; intersectionality; Mapuche micro-resistances</t>
  </si>
  <si>
    <t>The forced occupation of the Wallmapu, the Mapuche territory, though a military campaign known as Pacification of Araucania, contributed to the coerced migration of Mapuche people to the cities. This article delves, from an analytical and political perspective, into the experiences of Mapuche women who have worked in domestic service in Santiago de Chile, the capital city of the country with the highest number of Mapuche women. This is a multisited ethnographic research comprising the regions of El Biobio, La Araucania, and Los Rios, and the city of Santiago. The decolonized and decolonizing methodological perspectives used involved knowledge and social conventions characteristic of the Mapuche people. The methodological strategy included participating observation. Thirty two Mapuche women, who lived in the dimpora and have returned to the Wallmapu, participated In-depth interviews were carried out with twenty women. Four discussion groups were conducted with 12 women, including two of the interviewed women, in the city of Santiago and in the regions of La Araucania and Los Rios. The findings show colonial continuities in racialized work spaces, which manifest themselves in a variety of class, race, and gender clashes, and which dialectically give rise to subjectivities and everyday micro-resistances that shape the Mapuche diaspora identity of these women.</t>
  </si>
  <si>
    <t>10.4067/S0717-73562020005001004</t>
  </si>
  <si>
    <t>Ramaciotti, Juan Pablo; Shaw, Jo</t>
  </si>
  <si>
    <t>'THE TRANSIENT FOREIGNER': RESTRICTIONS ON CITIZENSHIP ACQUISITION IN CHILE AND COLOMBIA FOR THOSE SAID TO BE 'PASSING THROUGH'</t>
  </si>
  <si>
    <t>INTERNATIONAL &amp; COMPARATIVE LAW QUARTERLY</t>
  </si>
  <si>
    <t>comparative law; public international law; Latin America; constitutions; citizenship; transient foreigners; Chile; Colombia; migration</t>
  </si>
  <si>
    <t>This article explores the constitutional regulation of birthright ius soli citizenship in two Latin American countries which restrict access to citizenship for the children of foreigners deemed to be passing through the countries. Access to citizenship is a significant marker of membership, setting the boundaries of inclusion and exclusion within and across States. Choosing the cases of Chile and Colombia, this article uses historical, institutional and comparative analysis in order to excavate the evolving conceptions of citizenship in those two countries, with particular reference to the concepts of the 'transient foreigner' and of 'domicile'. The case studies provide an excellent laboratory within which to examine the evolution of constitutional ideas of citizenship and 'the people'. In Colombia, the outcome of the investigation shows that there is unlikely to be significant long-term change in the citizenship regime towards a more generalised acceptance of unconditional ius soli, notwithstanding the substantial shorter-term measures taken to accommodate the children of undocumented migrants from Venezuela and to respond to international pressure. In Chile, combined with other ongoing constitutional work in the citizenship space as part of a wider reform process, there may be a slow journey towards a different constitutional future for so-called 'transient foreigners' and others excluded within the State, but this is currently stalled. Chile has, however, introduced legislation cementing a more limited concept of 'transient foreigner', linking this work on citizenship to the wider domain of migration governance.</t>
  </si>
  <si>
    <t>10.1017/S0020589323000477</t>
  </si>
  <si>
    <t>Ramírez A.A.</t>
  </si>
  <si>
    <t>The relationship between migration and the right to health from a bioethical perspective. A systematic literature review; [La relació entre migració i dret a la salut des de la perspectiva bioètica. Una revisió sistemàtica de la literatura]; [La relación entre migración y derecho a la salud desde la perspectiva bioética. Una revisión sistemática de literatura]</t>
  </si>
  <si>
    <t>Revista de Bioetica y Derecho</t>
  </si>
  <si>
    <t>access to health; bioethics; ethics; migration; right to health</t>
  </si>
  <si>
    <t>One of the main debates in bioethics revolves around access to health care for migrants; however, it is difficult to find studies or articles that record the concrete contributions that bioethics has made in this area. For this reason, the main objective of this systematic review is to identify the contributions that bioethics has made to the relationship between migration and the human right of access to health since 2006. Based on the PRISMA methodology, a search for articles was carried out in the closed repositories of Scielo, PubMed, Elsevier, Redalyc and Dialnet, ensuring that these were from indexed journals. Articles published before 2006 were excluded. In total, 13 articles were selected and subjected to a detailed reading in order to report their results and conclusions. The findings were grouped into six categories and the main contribution of this discipline was identified as the formulation of bioethical principles that guide medical and scientific work and are basic notions for developing public policies on access to health. The results obtained are considered relevant for authorities, health professionals, scientists and migrants, as well as for the development of new projects that take up the objective of this research with a different approach. © 2023 Universitat de Barcelona, Observatorio de Bioetica y Derecho. All rights reserved.</t>
  </si>
  <si>
    <t>10.1344/rbd2023.59.42367</t>
  </si>
  <si>
    <t>Ramírez C.</t>
  </si>
  <si>
    <t>PEOPLE AND PLACES Using Photovoice to Explore Migrant Women’s Sociospatial Engagement in Diverse Local Urban Areas of Santiago, Chile</t>
  </si>
  <si>
    <t>Chile; COVID-19; diversity; local engagement; migration; participatory research; photovoice; urban space</t>
  </si>
  <si>
    <t>Framed in a project on conviviality and migration-led diversity in Santiago, Chile, this article presents visual narratives of neighborhood participation. Accounts of migrants’ public lives have turned to underlining mundane forms of conviviality and place-making. Th is visual essay shows how such dynamics can comprise a fertile terrain for public engagement in contexts of “crisis.” Th e account is based on a photovoice exercise developed by three long-established migrant women of diff erent occupations, age, and nationalities during the COVID-19 pandemic, a crisis that shaped the personal/public interface of their lives. I propose that photovoice, by endowing agency and producing situated knowledge, can illuminate migrants’ local engagement, making visible (creatively, descriptively, and symbolically) the connection between the personal and the public while counteracting dominant problem-based representations of migrants. © The Authors</t>
  </si>
  <si>
    <t>10.3167/ARMS.2023.060111</t>
  </si>
  <si>
    <t>Ramírez González, Catalina; Ojeda Ledesma, Lautaro; Margarit, Daisy; Jirón, Paola; Imilan, Walter Alejandro</t>
  </si>
  <si>
    <t>Comercio electrónico mediante WhatsApp Análisis del "Mall Virtual a un Click" desarrollado por migrantes en Chile</t>
  </si>
  <si>
    <t>Bitácora Urbano Territorial BITACORA URBANO TERRITORIAL</t>
  </si>
  <si>
    <t>social media commerce; socio-spatial inequality; informal commerce; migration; COVID-19</t>
  </si>
  <si>
    <t>Abstract The article problematises the digitalisation of small-scale sales, based on mobility restrictions in the face of the expansion of COVID-19 in the city of Santiago. The case studied is the "Mall virtual a un click", an initiative managed by organisations of Colombian migrant entrepreneurs in Chile. The proposal used mass groups on WhatsApp as a digital showcase that allowed them to continue selling, despite the restrictions that prevented them from continuing to develop sales at entrepreneurial fairs. The research recorded, through digital ethnography, the interactions of the group of entrepreneurs between May and September 2021 and complemented the analysis with an online survey and in-depth interviews. The study analysed mobilities and identified a continuum between the presence in the online space for the promotion of products and the place in the city from which marketing is generated, specifically from the home as the starting point of the process. Thus, the digital sale studied evidences the reproduction of socio-spatial inequalities, beyond the unlimited reach that e-commerce could offer to customers.</t>
  </si>
  <si>
    <t>10.15446/bitacora.v32n2.99055</t>
  </si>
  <si>
    <t>Ramirez Varela, Francisco</t>
  </si>
  <si>
    <t>The reconstruction of fragile families of migrant adolescents in Chile</t>
  </si>
  <si>
    <t>adolescence; migrants; family</t>
  </si>
  <si>
    <t>The growing phenomenon of migratory processes in Chile has been accompanied by an increase in family migration of the population under 18 years of age, which increased their situation of vulnerability due to age and their migratory status. This complexity increases with respect to the precarious situation of families experienced in the migratory processes. This article presents the results of a qualitative study, based on group interviews with adolescents, from countries in the Andean region and the Caribbean. The participants were aged between 13 and 15 years and attended a municipal school in the Municipality of Recoleta in Santiago. Among the main findings, the importance of involving adolescents in decision-making within migration processes is highlighted, as well as their being taken into account in family reunification practices, as these will be a determining factor in the reconstruction processes of their socio-family environments.</t>
  </si>
  <si>
    <t>Ramirez-Hernandez, Marcela</t>
  </si>
  <si>
    <t>Participation of Chilean exiles in Costa Rican State Universities</t>
  </si>
  <si>
    <t>TEMAS DE NUESTRA AMERICA-REVISTA DE ESTUDIOS LATINOAMERICANOS</t>
  </si>
  <si>
    <t>Chilean exile; migration; culture; higher education; social networks; Latin American thought</t>
  </si>
  <si>
    <t>Professionals from diverse occupational branches and disciplines were expelled from Chile as a result of repressive policies and the dismantling of the State during the dictatorship of Augusto Pinochet. Costa Rica, as a receiving country of this migratory flow, counted among the 1970s and 1980s, with the presence of more than a hundred Chilean professionals, who found in the local universities a fertile field for the strengthening and development of their skills. This article seeks to recognize their socio-professional profiles and their journeys through academia, using university archives and personal interviews as sources. From the investigation it was identified that, through the academic work, several of these people generated significant contributions from intellectual production, thematic innovation, university administration, the foundation of careers or from methodological and theoretical enrichment to multiple areas of knowledge.</t>
  </si>
  <si>
    <t>10.15359/tdna.37-69.10</t>
  </si>
  <si>
    <t>Ramírez-Iñiguez A.A.</t>
  </si>
  <si>
    <t>Inclusion and Migrations: Educational Interventions by the Civil Society; [Inclusión y migraciones: intervenciones educativas desde la sociedad civil]</t>
  </si>
  <si>
    <t>Adolescence; Childhood; Civil society; Inclusive education; Migration; Social participation</t>
  </si>
  <si>
    <t>This article analyzes the educational alternatives which Organizations of the Civil Society have undertaken to attend to and improve the quality of life of migrant children and adolescents. Its methodology consisted of an analysis, of an inductive nature, of the qualitative content, on the basis of which the factors which have favored the personal and social development of this population were identified. The results show that the strategies of intervention are focused on three aspects; a commitment to the well-being of the migrant population, strategies for attending to diversity and strategies of continuous evaluation. © 2022 Pontificia Universidad Javeriana. All rights reserved.</t>
  </si>
  <si>
    <t>10.11144/Javeriana.m15.imie</t>
  </si>
  <si>
    <t>Ramírez-Santana M.; Humeres J.R.; Silva M.B.; Valdés B.C.</t>
  </si>
  <si>
    <t>Social vulnerability and health needs of the immigrant population in northern Chile; [Vulnerabilidad social y necesidades de salud de población inmigrante en el norte de Chile]</t>
  </si>
  <si>
    <t>Chile; Health vulnerability; Immigrants; Latin America; Primary healthcare</t>
  </si>
  <si>
    <t>This work seeks to understand the health vulnerability and healthcare needs of immigrants in Chile through a qualitative exploratory study. The findings suggest that their vulnerability is due to their irregular status, insecure work, and low income, if any. Health conditions are common illnesses and mental and reproductive health issues. Acculturation and a positive attitude towards self-care are reported as protective factors. A significant barrier to access is the illegal status of some immigrants, as is a lack of familiarity with the Chilean health system. A suggestion is made to socialize health policies for migrants and expand targeted healthcare strategies. © 2019, El Colegio de la Frontiera Norte. All rights reserved.</t>
  </si>
  <si>
    <t>10.17428/rmi.v1i36.931</t>
  </si>
  <si>
    <t>Ramirez, Carolina</t>
  </si>
  <si>
    <t>Neighboring Care and Socio-Spatial Articulations in Diverse Urban Areas: Migrant Experiences During COVID-19</t>
  </si>
  <si>
    <t>REVISTA INVI</t>
  </si>
  <si>
    <t>conviviality; COVID-19; diverse urban areas; migration; neighboring care; Santiago (Chile)</t>
  </si>
  <si>
    <t>This article examines dynamics of conviviality and care deployed in diverse urban areas in contexts of crisis. Based on an ethnographic study that included observation, interviews, and photovoice techniques, and emphasizing the experiences of migrant women residing in Gran Yungay (Santiago, Chile), dynamics of solidarity, mutual aid, and support (contencion) deployed during the COVID-19 health crisis were identified. With the notion of neighboring care (cuidados vecinales) - an alternative to that of community care more commonly used-, I propose to look at care not only as self-managed dynamics of the sustenance of life that go beyond the private sphere. Neighboring care is a process of collectivization and spatialization of care that can also be based on transitory, diffuse, and even virtual ties, without necessarily involving organization by affinity. Observing care through the neighborhing (lo vecinal), and in the midst of shared critical moments, illuminates the dynamism and heterogeneity of the social ties established by migrants in the city. At the same time, it reminds us that increasingly heterogeneous and uncertain contexts do not simply promote fragmentation and conflict. As part of a collective experience, contexts of growing uncertainty and social diversification can also give rise to processes of disarticulation and (re)articulation of the common.</t>
  </si>
  <si>
    <t>10.5354/0718-8358.2023.67375</t>
  </si>
  <si>
    <t>Ramirez, Carolina; Chan, Carol</t>
  </si>
  <si>
    <t>Making community under shared conditions of insecurity: the negotiation of ethnic borders in a multicultural commercial neighbourhood in Santiago, Chile</t>
  </si>
  <si>
    <t>Chinese migrants; insecurity; conviviality; community; groupism; South American cities</t>
  </si>
  <si>
    <t>Multicultural commercial neighbourhoods are key spaces where individuals learn to relate to cultural difference in increasingly diverse cities worldwide. Host countries' pre-existing social dynamics and environmental conditions mutually shape everyday interactions between people from different ethnonational backgrounds within specific spaces. This article examines two kinds of community-making practices consisting of both intra-ethnic and inter-ethnic exchanges and collaborations, under conditions of shared insecurity in a multicultural commercial neighbourhood in Santiago, Chile. Drawing on ethnic Chinese experiences and responses to crime, we discuss how inhabitants of multicultural sites create more hospitable spaces by building and overcoming boundaries with co-ethnics, other migrants and 'locals'. Our ethnographic study finds that Chinese residents engaged in what we term 'strategic ethnic groupism', which aims to prompt the solidarity of an 'ethnic-based' collective in order to politically organise towards long-term solutions. Yet, simultaneously, with other migrants and citizens, the Chinese negotiated everyday intercultural conviviality through creating relations of trust and care to address more immediate insecurity concerns. Discussing both strategies, this article contributes to understanding the productive frictions between ethnicity, community and belonging, under shared conditions of insecurity, in multicultural urban spaces.</t>
  </si>
  <si>
    <t>10.1080/1369183X.2018.1497953</t>
  </si>
  <si>
    <t>Ramirez, Carolina; Stefoni, Carolina</t>
  </si>
  <si>
    <t>Contested and interdependent appropriation of space in a multicultural commercial neighbourhood of Santiago, Chile</t>
  </si>
  <si>
    <t>IDENTITIES-GLOBAL STUDIES IN CULTURE AND POWER</t>
  </si>
  <si>
    <t>Ethnic boundaries; social space; urban space; migrant entrepreneurs; ethnicization; Latin America</t>
  </si>
  <si>
    <t>This article examines experiences of making, inhabiting and appropriating space, in relation to the transformations of the political economy in an increasingly multicultural urban setting. Through processes of social production and construction of space, it explores the material, societal and symbolic processes at play. The entry points are memories, images, uses and material connection to Patronato neighbourhood (Santiago, Chile) by people of Korean and Palestinian ancestry. It analyses how claims of space authenticity, processes of ethnicisation and material appropriation of space - commonly understood as given by 'cultural differences' - respond to historical, economic and political shifts happening at a global and local level. Moreover, challenging the prism of socioeconomic conflict and separation, it shows emerging dynamics of social interdependence and adjustment, taking place alongside the reorganisation of ethnic boundaries. Such reorganisation allows settled migrants to develop a sense of belonging and control over space in a rapidly changing neoliberal city.</t>
  </si>
  <si>
    <t>10.1080/1070289X.2019.1658394</t>
  </si>
  <si>
    <t>Ramos Rojas D.N.; Mendoza S.M.</t>
  </si>
  <si>
    <t>Media alliance Tejiendo Redes: Emerging journalistic narrative on migration in Mexico; [Alianza de Medios Tejiendo Redes: Narrativa periodística emergente sobre la migración en México]</t>
  </si>
  <si>
    <t>Estudios Sobre el Mensaje Periodistico</t>
  </si>
  <si>
    <t>Collaborative journalism; Framing theory; Journalistic narrative; Migration</t>
  </si>
  <si>
    <t>From the perspective of framing theory, this article investigates the narrative on migration made by ten informational portals from Mexico, grouped in the Alianza de Medios Tejiendo Redes. From January to June 2020, the period covered by this analysis, we found 182 texts published by these informational portals, which as a whole were characterized by the use of a variety of sources, by giving migrants a voice, by offering an international perspective of human mobility, for moving away from stereotypes and not stigmatizing these actors, in an effort to create a journalistic narrative based on human rights. Thus, we verify the appearance of an emerging journalistic narrative in these media, which seeks to change the predominant discourse of objectification and stigmatization of migrants in the Mexican media, by one with a human rights perspective. © 2021 Universidad Complutense de Madrid. All rights reserved.</t>
  </si>
  <si>
    <t>10.5209/esmp.71485</t>
  </si>
  <si>
    <t>Ramos-Escobar, Elva Alicia; Garcia-Perez-de-Lema, Domingo; Castillo-Vergara, Mauricio; Valdez-Juarez, Luis Enrique</t>
  </si>
  <si>
    <t>Immigrant entrepreneurs: A review of the literature and an agenda for future investigations</t>
  </si>
  <si>
    <t>Entrepreneur immigrant; Enterprise; Entrepreneurship; Economy; Networks</t>
  </si>
  <si>
    <t>Immigrant entrepreneurship is a socioeconomic phenomenon that has become of utmost importance since immigrant communities have played an important role in economy. However, in recent decades, it has become a more multifaceted, complex, diverse, and global phenomenon. Thus, a review of the literature becomes essential. This work aims to develop a bibliometric analysis of the literature published in the Web of Science database from 2000 to 2020, in order to analyse the advances and trends on the subject. The methodology consists of analysing bibliometric indicators of quantity and quality using the Bibliometrix, VOSviewer and SCIMat software. The results show the evolution of this topic, as well as the recognition of the different lines in which the research has organized the debate. This study contributes to the literature on immigrant entrepreneurship by providing a systematization of the literature developed to date and proposing future lines of research.</t>
  </si>
  <si>
    <t>10.1016/j.ijintrel.2022.09.009</t>
  </si>
  <si>
    <t>Ravetllat-Ballesté, Isaac</t>
  </si>
  <si>
    <t>El procedimiento de retorno asistido de los niños, niñas y adolescentes extranjeros no acompañados o separados de sus referentes familiares en la normativa migratoria chilena</t>
  </si>
  <si>
    <t>International migration; assisted return; migrant children’s rights; child protection</t>
  </si>
  <si>
    <t>ABSTRACT: The objective of this study is to reflect on the lack of regulation in Chile of an assisted return procedure of unaccompanied and separated children from their family references from a human rights approach that respects the provisions contained in both the Convention on the Rights of the Child and the Convention on the Protection of the Rights of All Migrant Workers and Members of Their Families. In this sense, the Law 21.325, of Migration and Foreigners, despite containing as one of its main principles that of the best interests of the child, does not seem, however, to be able to offer clear answers consistent with the true ones needs of these children and adolescents, even more so after the Constitutional Court Judgment of January 29, 2021, which declared the unconstitutionality of the assisted return procedure contained in article 132 of the aforementioned norm.</t>
  </si>
  <si>
    <t>Raymond, Emilie; Carrasco-Pavez, Victoria; Rodriguez-Gutierrez, Beatriz; Patricia Gallardo-Peralta, Lorena; Gonzalvez-Torralbo, Herminia; Osorio-Parraguez, Paulina; Caro-Puga, Sara</t>
  </si>
  <si>
    <t>STUDIES ON THE DIVERSITY OF AGING IN LATIN AMERICA AND THE CARIBBEAN SYSTEMATIZED REVIEW IN FOUR CROSSES</t>
  </si>
  <si>
    <t>PRISMA SOCIAL</t>
  </si>
  <si>
    <t>Aging; Old age; Diversity; Latin America; Literature review</t>
  </si>
  <si>
    <t>The article presents the results of a literature review whose objective was to produce a summary and analysis on diversity in the gerontological field in Latin America and the Caribbean. Studies carried out between 2010 and 2021 on the aging experiences of older people with disabilities, members of the LGBT community, migrants, and Indigenous peoples were reviewed. The literature review was guided by the SALSA (Search, AppraisaL, Synthesis and Analysis) method. The results were analyzed by group, showing central themes for each one: for the disability group, limitations in old age as generators of deterioration and decline, making social participation impossible; for the LGBT group, the weight of social norms that restrict the expression of dissident sexual and gender identities; for the migration group, the intersection with the theme of care and the ambivalences linked to a binational life course; and for the Indigenous group, the tensions between the worldview of First Nations people and the cultural changes impacting their social role. Transversal discursive axes were identified in the corpus, highlighting the unequal and exclusionary old age that many people experience at the same time as the capacity for agency, reinvention, and resistance that these elderly people manifest in their daily practices.</t>
  </si>
  <si>
    <t>Rea Granados, Sergio Alejandro</t>
  </si>
  <si>
    <t>DIFFICULTIES IN IDENTIFYING UNACCOMPANIED REFUGEE CHILDREN IN MIXED MIGRATION FLOWS: THE CASE OF MEXICO AND CENTRAL AMERICA</t>
  </si>
  <si>
    <t>MEXICAN LAW REVIEW</t>
  </si>
  <si>
    <t>Refugee children; invisibility of childhood; vulnerability; refugee law; rights of children</t>
  </si>
  <si>
    <t>This article aims to study and analyses the different problems, realities and challenges faced by children and adolescents that require international protection in the case of Mexico and Central America. This is due to the fact that the phenomenon of human mobility, from a human rights perspective has not been a priority in the Americas region. On the contrary, this phenomenon is seen from a national security, perspective, which causes that children and adolescents who require international protection are unnoticed as a result their human rights are easily attacked making them vulnerable. Due to international laws on refugees, this article proposes to find possible solutions to protect their human rights and rights recognized by refugee late: Firstly, the identification of unaccompanied refugee children and adolescents within the mixed migratory flows in the case of Mexico and Central America. Secondly, it also aims to find possible solutions to give them access to the asylum procedure as a result to protect their rights such as non-refoulement and the best interests of the child Rights not only recognized by international refugee laws, hut also by international human rights law which are mandatory and part of the international obligations on those countries of study.</t>
  </si>
  <si>
    <t>10.22201/iij.24485306e.2019.2.13637</t>
  </si>
  <si>
    <t>Rehner, Johannes; Murray, Warwick E.; Rodriguez, Sebastian; Overton, John</t>
  </si>
  <si>
    <t>Boom city! Regional resource peripheries and urban economic development in Chile</t>
  </si>
  <si>
    <t>AREA DEVELOPMENT AND POLICY</t>
  </si>
  <si>
    <t>economic geography; urban economy; economic restructuring; regional resource peripheries; commodity boom; Chile</t>
  </si>
  <si>
    <t>Although most studies of resource peripheries are macroeconomic in scale, a regional perspective permits a better understanding of the economic implications of commodity dependence. This study of the boom in commodity exports in Chile in the period 2005-15 shows that while a boom may have adverse effects on other activities, it also had positive impacts on the demand for 'non-tradable' construction, commerce and hospitality services in urban areas through the investment of economic rents and expansion of the secondary circuit of capital. These impacts differed significantly between booming and non-booming cities, leading to a call for rescaling, spatializing and temporalizing research on resource peripheries.</t>
  </si>
  <si>
    <t>10.1080/23792949.2019.1680298</t>
  </si>
  <si>
    <t>Reid-Musson E.</t>
  </si>
  <si>
    <t>Intersectional rhythmanalysis: Power, rhythm, and everyday life</t>
  </si>
  <si>
    <t>Canada; feminist geography; intersectionality; migration; mobility; rhythmanalysis; unfree labour</t>
  </si>
  <si>
    <t>This article examines rhythmanalysis within the context of Henri Lefebvre’s critique of everyday life and identifies gaps in his framework from the vantage point of intersectional feminist scholarship. Intersectional rhythmanalysis, I argue, provides a framework through which to conceptualize the braiding together of rhythms, social categories of difference, and power on non-essentialist bases. I interweave findings from doctoral research on migrant farmworker rhythms in rural southern Ontario, Canada. The article argues that rhythms help produce unequal subject positions of migrants in Canada, yet also represent lived uses of space and times which permit transgressions of racial, gender, and class boundaries. © The Author(s) 2017.</t>
  </si>
  <si>
    <t>10.1177/0309132517725069</t>
  </si>
  <si>
    <t>Renggli C.; Riaño Y.</t>
  </si>
  <si>
    <t>International student mobility: Reasons for studying in Switzerland, strategies, experiences and future plans; [Mobilité étudiante internationale: Raisons d'étudier en Suisse, stratégies, expériences et projets d'avenir]</t>
  </si>
  <si>
    <t>Geo-Regards</t>
  </si>
  <si>
    <t>Experiences; Migration; Mobility intentions; Motivations; Strategies</t>
  </si>
  <si>
    <t>This article examines the reasons, strategies, experiences and future plans of international students who relocate to Switzerland for tertiary studies. The University of Bern serves as a case study. An online survey was sent to all international students who were enrolled in the academic year 2015-2016 for their Bachelor, Master or Doctoral studies. The results show that their decisions to study in Switzerland are mainly shaped by a desire to experience a new culture. The good quality of life in Bern is particularly appreciated. Thus, contrary to expectations based on human capital theory, students' mobility is not primarily motivated by a wish to obtain better wages in the future. © 2017 Alphil Revues. All rights reserved.</t>
  </si>
  <si>
    <t>Rengifo, Maria Olaya Grau; Sanchez, Maria Elvira Cardenas; Yaksic, Nicolas Espejo</t>
  </si>
  <si>
    <t>The exercise of parental responsibility in Latin American migrant families under the Chile Crece Program</t>
  </si>
  <si>
    <t>Parental responsibility; migration; child raising; children</t>
  </si>
  <si>
    <t>We intend to analyze how migrant parents in Santiago de Chile mean their exercise of parental responsibility and examine how this exercise is perceived from the perspective of the professionals of the Chile Crece Contigo (hereinafter ChCC) system. For this, interviews were conducted with Latin American migrant families with children up to five years old, a discussion group and interviews with those in charge of the stimulation rooms of the Family Health Centers of the Metropolitan Region. Showing that migrant parents make decisions in relation to their children about what they consider to mean the proper exercise of parental responsibility, where the best interest of children prevails as motivation. On the other hand, that the support provided by the State in the exercise of parenting has different views from the perspective of parents, highlighting parental responsibility as a duty and a preferential privilege against the State and in this case against professionals of the ChCC on behalf of the same. Finally, there are tensions and challenges that would make it possible to complicate the treatment of parental responsibility from cultural diversity, such as the lack of time versus the desire to be present in parenting, which goes hand in hand with the tensions over co-responsibility; the use of violent discipline methods in parenting as an accepted practice; and finally, the offer of a parenting support system, in the face of the lack of intercultural competence in public policy.</t>
  </si>
  <si>
    <t>10.21678/apuntes.93.1498</t>
  </si>
  <si>
    <t>Restrepo-Pineda J.E.; Jaramillo-Jaramillo J.</t>
  </si>
  <si>
    <t>Perception of social leaders and representatives of public and private organizations on Venezuelan migration and immigrants in the municipality of Maicao (La Guajira, Colombia); [Percepción de líderes sociales y representantes de organizaciones públicas y privadas sobre la migración y los inmigrantes Venezolanos en el municipio de Maicao (La Guajira, Colombia)]</t>
  </si>
  <si>
    <t>Colombia; Migration; Perception; Stereotype; Vene-zuela</t>
  </si>
  <si>
    <t>The article analyzes the perception of social leaders and representatives of public and private organizations about the migratory process and Venezuelan immigrants in the municipality of Maicao (La Guajira, Colombia). A qualitative research was developed using semi-structured interviews. Results show that there is a negative perception about the migratory process of Venezuelans, due among other factors to the high volume of immigrants, their socioeconomic background, and the length of the migratory process. The perceptions of the participants are consistent with the group conflict theory that states that in unfavorable economic contexts with a high presence of migrants, the competition for limited social goods and services increases, which leads to immigration being considered as a threat by natives. © 2020 Universidad Pontificia de Comillas.</t>
  </si>
  <si>
    <t>10.14422/mig.i49.y2020.005</t>
  </si>
  <si>
    <t>Rettberg A.</t>
  </si>
  <si>
    <t>Colombia in 2019: The paradox of plenty; [Colombia en 2019: La paradoja de la abundancia]</t>
  </si>
  <si>
    <t>Colombia; Illicit crops; Migration; Peace agreement; Protest; Transitional justice</t>
  </si>
  <si>
    <t>2019 was a significant year for Colombian politics and the country’s political debate was dominated by four intertwined issues: (a) the implementation of the historic peace agreement between the Colombian government and the Fuerzas Armadas Re-volucionarias de Colombia (FARC) and all its economic, judicial, and political ramifi-cations, (b) the ongoing presence of illicit crops and the impact of the drug trade on domestic and international security, (c) the tense bilateral relation between Colombia and Venezuela, and, similar to other Latin American countries, (d) social unrest caused by multiple and widespread frustration about public education, health, corruption, governance, and the environment. At the same time, the country was marked by steady economic growth, above the Latin American average. In addi-tion, much of the political debate took place within and among the institutions of Colombian state and society, illustrating growing state capacity and a mature civil society. In this article, I describe the different aspects of this Colombian paradox— high levels of domestic unrest and political polarization surrounding unsolved structural issues and pending expectations about peace combined with superior economic performance and growing institutional strength—in an effort to provide an overview of the challenges overcome as well as those lying ahead. © 2020, Pontificia Universidad Catolica de Chile. All rights reserved.</t>
  </si>
  <si>
    <t>10.4067/S0718-090X2020005000107</t>
  </si>
  <si>
    <t>Retuerto I.; Glass P.; Guzmán E.; Dumas T.; Formantel A.; Pozo F.</t>
  </si>
  <si>
    <t>Scenarios from the margin: Narratives of adolescents and adults about their theatre experience in contexts of social exclusion in Santiago, Chile</t>
  </si>
  <si>
    <t>Applied Theatre Research</t>
  </si>
  <si>
    <t>adolescents; Chile; marginality; narrative; prison theatre; reparatory theatre; socially engaged; theatre; transformation</t>
  </si>
  <si>
    <t>This article problematizes the notion of ‘transformation’ in socially engaged theatre practice. A more nuanced understanding of the impact of theatre practice in marginal contexts is constructed from narrative analysis of the theatre workshop experiences of adolescents in a rights reparation program and men serving long prison sentences. In these contexts of double exclusion (poverty combined with the condition of being prisoners and homeless or violated adolescents), the participants’ long-term remembrances make constant reference to the theatre experience having signified a transit from one space or place to another. The theatre space was identified as a place of discovery, a place of validation and a place of relocation. Their theatre experience drew meaning from its implicit contrast to their everyday reality. It was a place they decided to make their own, because within it they truly experienced feelings of wellbeing not present in the marginal spaces they were inhabiting. © 2020 Intellect Ltd Article. English language.</t>
  </si>
  <si>
    <t>10.1386/atr_00038_1</t>
  </si>
  <si>
    <t>Reveco C.D.; Mullan B.</t>
  </si>
  <si>
    <t>Migration policy and development in Chile</t>
  </si>
  <si>
    <t>Current and prospective migration law and policy in Chile does not adequately incorporate the causes, content, and consequences of international migration to and from Chile. We describe and examine migration in-flows, out-flows, migration-related policies, and how those policies drive, and are driven by, notions of development in Chile. We explore contradictions in Chilean nascent migration policy currently under legislative review. We argue that it is imperative that migration, migration policy, and their relationship to development be discussed inclusively and transparently and be explicitly incorporated into the Chilean government's nascent migration and development legal policies and frameworks. © 2013 The Author International Migration.</t>
  </si>
  <si>
    <t>10.1111/imig.12157</t>
  </si>
  <si>
    <t>Reyes Muñoz, Vania</t>
  </si>
  <si>
    <t>Geografías racializadas de la migración afrocaribeña en la prensa digital chilena. De la caracterización urbana a la amenaza barrial, 2016-2021</t>
  </si>
  <si>
    <t>Afro-descendant; migration; digital press; territorial stigmatization</t>
  </si>
  <si>
    <t>Abstract Afro-Caribbean migration in Chile is distributed mainly in the cities of the north and center of the country. The representation of these geographies in the media speaks of supposed forms of migrant habitation, which deepen the stigmatization and stereotypes about these populations and the territories they inhabit. The descriptive inductive analysis on international migration in online media between 2016 and 2021 evidenced a shift in the representations about these groups and the sectors of their residence, which began with the sociodemographic characterization, to move on to build on this inhabiting a health alert in the context of COVID-19. In this flight, the discourses of national and local authorities were key, associating communes and housing morphologies to migrant populations, overlapping territorial and housing problems to migratory categories and nationalities. The text problematizes the use of these discourses for territorial stigmatization.</t>
  </si>
  <si>
    <t>Reyes, Matias; Bravo, Sergio; Vergara, Florencia; Silva, Ignacio; Zuniga, Paz; Palacios, Pia</t>
  </si>
  <si>
    <t>Residential trajectories of immigrant homes living in slums. Case study in districts of Lampa and Maipu, Metropolitan Region, Chile</t>
  </si>
  <si>
    <t>Immigrant; slums; informal settlements; residential trajectories; mobility</t>
  </si>
  <si>
    <t>In Chile, the presence of slums or informal settlements is one of the expressions most commonly associated with urban informality. They represent a housing access strategy that has been used by vulnerable groups who, for different reasons, have been excluded from the formal housing market. The case study is 274 homes of Chilean citizens and immigrants who reside in 17 slums located in the districts of Lampa and Maipu, in the Metropolitan Region. Information was gathered to characterize these households socio-economically and analyze their internal and external migration movements, as well as to determine the probability of action that they have in order to find a definitive housing solution. It has been concluded that immigrant households don't choose to live in slums directly, but they usually take approximately three years. On the other hand, the previous housing situation of these households is marked by different types of informality, renting without a contract being characteristic, and their trajectories between districts are broad, unlike Chilean households whose trajectories occur within of the same district. Finally, it is determined that when the horizon of permanence in the slum is longer, the probability of searching actively for a housing situation decreases strongly.</t>
  </si>
  <si>
    <t>Riall L.</t>
  </si>
  <si>
    <t>Travel, migration, exile: Garibaldi's global fame</t>
  </si>
  <si>
    <t>Modern Italy</t>
  </si>
  <si>
    <t>exile; migration; nationalism; South America; transnational networks</t>
  </si>
  <si>
    <t>In this article, it is argued that Garibaldi's global fame owes much to his own experiences as a migrant and exile in the Americas. Overseas, Garibaldi not only acquired several practical and political skills, he also built up an important network of friends and supporters and became a hybrid figure able to adapt his image to diverse political settings. At the same time, Garibaldi relied on the trope of exile, developed by people like Ugo Foscolo, to define his opposition to, first, Italy's Restoration governments and, after Italian unification, the new moderate liberal regime. The article also looks at Garibaldi's life on Caprera and it is further argued that here Garibaldi combined elements of his previous experiences to fashion a role for himself as a 'foreigner in Italy'. Garibaldi was a symbol of many worlds as well as a hero of two and it is precisely this hybrid nature of his appeal that can explain his global popularity. © 2014 Association for the Study of Modern Italy.</t>
  </si>
  <si>
    <t>10.1080/13532944.2013.871419</t>
  </si>
  <si>
    <t>Riedemann A.; Armijo-Cabrera M.</t>
  </si>
  <si>
    <t>Foreign students in the nationalist-homogenizing schools of a neoliberal and unequal society: The case of Chile</t>
  </si>
  <si>
    <t>Chile; Foreign students; Inequality; Nationalism; Neoliberalism; Schools</t>
  </si>
  <si>
    <t>This paper introduces the educational conditions of foreign children in the present Chilean school system. Based on the existing literature and on a field participative project carried out in 2017-2018, this paper identifies the Chilean school system, deeply rooted in Chilean history as a nationalist and neoliberal organization, where - based on this - students from foreign countries encounter racism and class segregation. In this respect it has to be mentioned that teacher training in Chile does not touch upon any aspect of preventing discriminations, neither regarding their way of managing their students' mutual relationships, nor regarding a reflexive approach that teachers need to identify their own personal prejudices reflected in their everyday professional practice. © Springer Fachmedien Wiesbaden GmbH, part of Springer Nature 2021. All rights reserved.</t>
  </si>
  <si>
    <t>10.1007/978-3-658-29189-1_18</t>
  </si>
  <si>
    <t>Riedemann, Andrea; Pavez, Iskra; Rifo, Mauricio</t>
  </si>
  <si>
    <t>Access of migrant students to university in Chile: Experiences, challenges and proposals</t>
  </si>
  <si>
    <t>JOURNAL OF INTERNATIONAL STUDENTS</t>
  </si>
  <si>
    <t>Young migrants; Chile; university; financing; visa</t>
  </si>
  <si>
    <t>This article links the internationalization of higher education with the migration phenomenon that Chile has been experiencing since the decade of 1990. Based on an exploratory and qualitative research, that conducted semi-structured interviews with nine youngsters from Latin America and the Caribbean, and now living in Chile, the article describes several experiences that young migrants have made by entering to the university. Results show that the main challenge is to finance the high costs of involving in university studies in Chile. The extended waiting periods - up to three years - to get a visa of definitive residence hinders the access to student benefits that the public policy is offering. A second problematic situation is the access to information for applying to the university and the available benefits. Recommendations focus on the described problems.</t>
  </si>
  <si>
    <t>Riedemann, Andrea; Stang, Fernanda; Joiko, Sara; Palma, Josefina; Garces, Antonia</t>
  </si>
  <si>
    <t>Teaching about colonialism, nationalism, and neoliberal patriarchy during the Chilean social outbreak</t>
  </si>
  <si>
    <t>Chile; migration; discrimination; social outbreak; decolonial studies; popular university</t>
  </si>
  <si>
    <t>While Chile currently commemorates 50 years since the 1973 coup, it is also immersed in the process of writing a new Constitution to replace that of 1980, which is responsible for the all over present neoliberalism, including the education system. The constituent process is a direct consequence of the social outburst of 2019. In this context, this article informs Other Sociologies of Education by describing the experience of a course inspired by decolonial studies and offered at a community higher education initiative that emerged from a local government, aiming to democratize education. To reconstruct the course experience, we used documents, our own memories and some participants written thoughts, and we wrote this article following the methodology of narrative productions. The article suggests that there is great potential in transmitting decolonial studies - for their capacity to explain and transform ethnic-racial relations in Latin American societies - in community education.</t>
  </si>
  <si>
    <t>10.1080/01425692.2023.2284648</t>
  </si>
  <si>
    <t>Riedemann, Andrea; Stefoni, Carolina; Stang, Fernanda; Corvalan, Javier</t>
  </si>
  <si>
    <t>From an intercultural education for indigenous peoples to another one focused on the current migration context. An analysis based on the Chilean case</t>
  </si>
  <si>
    <t>intercultural education; indigenous peoples; migration; Chile</t>
  </si>
  <si>
    <t>This article poses the question if the Intercultural Bilingual Education Programa of Chile (PEIB, for its name in spanish), the education policy designed for those groups that historically have been considered as representatives of cultural diversity -those groups recognized by the chilean Indigenous Law- is suitable for the rather new context that has emerged in schools due to international migration. The analysis presents the origin of PEIB and the context that made it possible, focuses on two central features of the PEIB, and then discusses the possible connection points with the new context. Based on a document analysis of the aforementioned aspects and some of the evaluations the program has gone through, we conclude that it is rather not recommendable to use the PEIB as a starting point for a education policy that attends to the migration context. At this point, the article presents some thoughts about the challenges the chilean education system -deeply rooted in a neoliberal society model- faces to advance towards a good education system for all, that also takes into account cultural diversity.</t>
  </si>
  <si>
    <t>10.22199/issn.0718-1043-2020-0016</t>
  </si>
  <si>
    <t>Rihm Bianchi, Andrea; Sharim Kovalskys, Dariela</t>
  </si>
  <si>
    <t>COLOMBIAN IMMIGRANTS IN SANTIAGO: EXPERIENCES AND REFLECTIONS REGARDING THE RIGHT TO INHABIT THE CITY</t>
  </si>
  <si>
    <t>IMMIGRATION; SUBJECTIVITY; SOCIAL SPACE; SOCIAL COHESION; SANTIAGO</t>
  </si>
  <si>
    <t>Immigration is one of the defining features of our time and calls into question processes of the construction of identity in relation to the experience of belonging and ties to space, territory and social worlds. This paper presents the perspectives of 14 Colombian immigrants regarding their lives in Santiago, analyzing how some features of the space make cultural trends and particular ways of dwelling visible. Santiago plays the role of the main character in their narratives, as it illustrates, reflects and participates in the construction of social issues. The article discusses how moving beyond localisms and incorporating a peripheral perspective can contribute to adding dynamism and depth to the understanding of social cohesion.</t>
  </si>
  <si>
    <t>Rihm Bianchia, Andrea; Sharim Kovalskys, Dariela</t>
  </si>
  <si>
    <t>Colombian migrants in Chile: Tensions and opportunities in the articulation of life stories</t>
  </si>
  <si>
    <t>immigration; experiences; life stories; cultural transformations; Chile; Colombia</t>
  </si>
  <si>
    <t>This article presents and discusses the results of a qualitative mixed-method study conducted in Chile aimed to explore the subjective experiences and meanings attributed by a group of adult Colombian immigrants to their migratory experience. Life stories and artworks were used to produce data. The study found that migratory trajectories are signified in plural ways. Immigration demanded a continuous process of sense-making by the participants, showing the contingent nature of identity, life style and cultural practices. Participants tended to signify positively their migration experiences, although felt a strong pressure to succeed and get ahead, relying mostly on their own personal resources. Therefore, the results showed that migration is experienced in an inherently individual way, reflecting the individualization present in culture.</t>
  </si>
  <si>
    <t>10.11144/Javeriana.upsy16-5.mcto</t>
  </si>
  <si>
    <t>Rinaldo N.; Gualdi-Russo E.; Khyatti M.; Lakhoua C.; Toselli S.</t>
  </si>
  <si>
    <t>Psychosocial health and quality of life among North African women</t>
  </si>
  <si>
    <t>anthropometry; migrants; native populations; North Africa; psychosocial factors; women</t>
  </si>
  <si>
    <t>Studies on relationships between psychosocial factors and health among North African (NA) women are scarce. This research investigated the self-perceived psychosocial well-being of NA women by a structured questionnaire and anthropometric survey examining the possible explanatory variables of their mental health in comparison to a sample of NA migrants. The association of endogenous stress, psychological well-being, discomfort, and quality of life with migrant/non-migrant status, demographic characteristics, and adiposity indices was examined. Moreover, the internal consistency of the questionnaire was tested using Cronbach's alpha. A sample of 228 women living in Tunis and Casablanca participated in a survey in Tunisia and Morocco. According to multiple regression models, migrant/non-migrant status was the best explanatory variable of well-being and quality of life, marital status, educational level and the number of children were explanatory variables of discomfort and endogenous stress. Among anthropometric variables, central adiposity was a significant explanatory variable of well-being. The comparison with women who migrated mainly from Morocco and Tunisia to Italy (NA migrants) exhibited higher weight status and central adiposity in NA migrants. The perceived stress and discomfort were the same in the two groups; the migrants, despite reporting lower psychological well-being, presented a higher quality of life than residents. Our findings emphasise the potential to promote monitoring of the psychosocial health of NA women, planning effective interventions. © 2021 The Authors. Health and Social Care in the Community published by John Wiley &amp; Sons Ltd.</t>
  </si>
  <si>
    <t>10.1111/hsc.13562</t>
  </si>
  <si>
    <t>Rios-Contreras N.</t>
  </si>
  <si>
    <t>MIGRATORY DISASTER IN MEXICO-UNITED STATES TRANSIT: MIGRATION CONTROL, RACISM AND COVID-19; [DESASTRE MIGRATORIO EN EL TRÁNSITO MÉXICO-ESTADOS UNIDOS: CONTROL DE LA MIGRACIÓN, RACISMO Y COVID-19]</t>
  </si>
  <si>
    <t>Revista de Estudios Latinoamericanos sobre Reduccion del Riesgo de Desastres</t>
  </si>
  <si>
    <t>Borders; COVID-19; Disasters; Mexico; Migration; Racism; United States</t>
  </si>
  <si>
    <t>This article proposes the use of a disaster perspective to explore transit migration from Mexico to the United States and to take the dialogue beyond a crisis and a national security threat. The theoretical reflection is based on ethnographic research focused on the analysis of journalistic stories and face-to-face and virtual observations made between 2018 and 2020 on the Mexico-United States border. Migrants in transit face a migration disaster with underlying factors such as militarization, securitization, and the externalization of borders. Likewise, historical legacies of racism and anti-blackness, and the contemporary context of the COVID-19 pandemic, are concurrent factors that reinforce the migratory disaster and occur simultaneously with immigration enforcement. During the COVID-19 pandemic, migrants continue to be racialized and disproportionately affected. Disaster planning and mitigation provides alternatives to rethink possible actions that reduce the impact of COVID-19 on Latin American migrants by offering a humanitarian approach that addresses inequality and challenge the immigration control regime. © 2021, Corporation for the Management and Reduction of Disaster Risk in Chile (GRID-Chile). All rights reserved.</t>
  </si>
  <si>
    <t>10.55467/reder.v5i2.78</t>
  </si>
  <si>
    <t>Riquelme Brevis H.</t>
  </si>
  <si>
    <t>Domestic work in Navarra Reflections on the perception of South American immigrant women according to their experience in care area; [Empleo doméstico en Navarra. Reflexiones en torno a la percepción de mujeres sudamericanas inmigradas, sobre su experiencia en el ámbito del cuidado]</t>
  </si>
  <si>
    <t>Universum</t>
  </si>
  <si>
    <t>Migration; Oppression gender; Precarious work; Social care</t>
  </si>
  <si>
    <t>This paper is presented on the contingency of Latin American migration lived in Spain between (2001-2011). The community of Navarra, Pamplona will be emphasized. For practical purposes, a case study that works with a sample of South American immigrant women whose job is domestic work is analyzed. Key elements were identified and allowed the theoretical-conceptual basis to explore social care processes. As a result of what is mentioned above, thoughtful focal points that allow deeper considerations into some of the motivations and feelings that produced the enrollment of women in domestic work are provided based on sociological definitions that connect the praxis-discourse of migrant population.</t>
  </si>
  <si>
    <t>10.4067/s0718-23762014000100008</t>
  </si>
  <si>
    <t>Riquelme Gomez, Diego; Tapia Ladino, Marcela</t>
  </si>
  <si>
    <t>JUST ARRIVED AT THE OASIS. MOBILITY AND BORDER CROSSING IN RECENTLY SETTLED MIGRANTS IN SAN ANDRES DE PICA, TARAPACA (CHILE)</t>
  </si>
  <si>
    <t>mobility; border; cross-cultural Itineraries; saber migrar; San Andres de Pica</t>
  </si>
  <si>
    <t>This article shows the findings of an ethnography carried out in the town of San Andres de Pica within the province of Tamarugal, in the first region of Tarapaca, Chile. The objective was to analyze the practices of mobility and transfer of borders in newly settled migrants to the rural town of Pica, a scale that has not been addressed in the literature. The data were obtained through interviews and participant observation during a prolonged stay in the town that inquired about the reconstitution of the moments of migration: before, during and after the trip. During the course, the interviewees acquire a space capital, a know how to migrate, related to the mobility that constitutes a shared, learned and practiced heritage among them. This knowledge is part of the cross-cultural itineraries understood as the transit and interaction between social spheres and diverse spaces which include strategies and practices of identity renegotiation for the crossing of borders, territorial, cultural, social and symbolic.</t>
  </si>
  <si>
    <t>10.14422/mig.i50.y2020.002</t>
  </si>
  <si>
    <t>Rival-Carrillo, Diego; Valenzuela-Valenzuela, Amanda; Cartes-Velasquez, Ricardo</t>
  </si>
  <si>
    <t>Migration and labour, a review of the current Chilean context</t>
  </si>
  <si>
    <t>Acculturation; immigration; migration; labor migration; labor productivity</t>
  </si>
  <si>
    <t>Migratory flows are part of Chilean history, and have experienced changes throughout the years. Nowadays, there are multiple violations to migrants' rights, which hinder their access to employment. This goes against migration's main purpose, which is to improve one's living conditions. This review explores the main reasons that lead migrants to leave their nations of origin; ethnicity, cultural diversity and acculturation processes; migrants' rights violations, highlighting legal rights violations; and employment as a social phenomenon, in which training courses and workshops become extremely relevant for migrant population. It is concluded that through multiple interventions, migrants' rights violations might be diminished, improving their living conditions and facilitating their access to employment.</t>
  </si>
  <si>
    <t>10.7770/CUHSO-V31N1.ART2148</t>
  </si>
  <si>
    <t>Rivera-Vargas, Pablo; Mino-Puigcercos, Raquel; Estalayo-Bielsa, Paula; Lozano-Mulet, Paula</t>
  </si>
  <si>
    <t>MiCREATE Project. Migrant children and communities in a transforming Europe (Proyecto MiCreate. Infancia y comunidades migrantes en una Europa en transformacion)</t>
  </si>
  <si>
    <t>CULTURE EDUCATION</t>
  </si>
  <si>
    <t>child-centred approach; childhood; migration; school; public policies</t>
  </si>
  <si>
    <t>The phenomenon of migration has become more acute in Europe in recent years. This unprecedented situation has led to multiple challenges in the host countries in terms of managing the social integration process of migrants. The situation has particularly affected minors, with the consequent impact on local education systems. Within this context, the MICREATE project - Migrant Children and Communities in a Transforming Europe (HORIZON 2020-822664) - emerged, whose main objective is to identify and meet the specific needs of children and young migrants related to integration into the host societies via school. The research is being conducted using a mixed methodology with a child-centred approach in order to avoid the assumptions with which adults tend to think about integration. In this way, we seek to create a space that enables them to express their interests and experiences. This project, which will last three years, is expected to enable us to rethink integration policies and strategies by generating new knowledge and promoting new solutions for education institutions and policies.</t>
  </si>
  <si>
    <t>10.1080/11356405.2021.1949111</t>
  </si>
  <si>
    <t>Rivera, Cristián Felipe Orrego</t>
  </si>
  <si>
    <t>Migración haitiana en Chile y horizonte de aspiración inestable: el vudú y la construcción de comunidad en el pasado, presente, y futuro</t>
  </si>
  <si>
    <t>voodoo; aspirational capacity; Haitian migration</t>
  </si>
  <si>
    <t>Abstract The bureaucratic plot experienced by Haitian migrants in Chile in order to obtain regularization and permanent residence generates a waiting space marked by uncertainty and risk and configures an unstable horizon of aspiration. This article analyzes how voodoo, as a main element of community building and protection, constitutes a capital for Haitians in Chile to better face the problems derived from negligent migration management.</t>
  </si>
  <si>
    <t>10.1590/1980-85852503880006812</t>
  </si>
  <si>
    <t>Rivero-Cantillano, Rodrigo; Navarrete-Montalvo, Juan; Ordenes, Cristian; Llorca-Jana, Manuel</t>
  </si>
  <si>
    <t>The Demographic Consequences of the End of Chile's Nitrate Boom,c.1907-1940</t>
  </si>
  <si>
    <t>Chile; demography; Great Depression; migration; Nitrate era</t>
  </si>
  <si>
    <t>This article deals with the demographic consequences of the end of Chile's nitrate boom following the 1929 crisis. The traditional economic historiography has maintained that this crisis impacted heavily on nitrate production, and that in turn the crisis triggered a permanent exodus from the nitrate districts to other geographical zones. Contrary to this widely held belief, we have shown in this article that: there was no substantial fall in production; there was indeed a fall in nitrate population, but this was limited; this took place in some nitrate areas only; overall, the decline in nitrate population was a short term phenomenon only. The population making a living from nitrate production (or activities directly related to it) did not emigrate in as large numbers as previously thought, since production remained high up to the 1960s.</t>
  </si>
  <si>
    <t>10.1111/blar.12989</t>
  </si>
  <si>
    <t>Robles C.</t>
  </si>
  <si>
    <t>The agrarian historiography of Chile: Foundational interpretations, conventional reiterations, and critical revisionism; [La historiografía agraria de Chile: Interpretaciones fundacionales, reiteraciones convencionales y revisionismo crítico]</t>
  </si>
  <si>
    <t>Historia Agraria</t>
  </si>
  <si>
    <t>agrarian historiography; Chile; hacienda system; rural history</t>
  </si>
  <si>
    <t>This article examines the development of Chilean agrarian historiography in the last four decades, by means of an introductory overview organized as a chronological reconstruction. It selectively focuses on relevant authors and works, the problems and questions they addressed, their main arguments and contributions, as well as their flaws and limitations. In doing so, the article constructs debates that never took place, because development of this field has been limited by the scarcity of specialized works, the different contexts in which they were produced, and the lack of institutional spaces for systematic debate.Agrarian historiography has only recently become a distinctive discipline in Chile and is therefore an incipient field. In the last fifteen years, a new revisionist agrarian historiography has begun to revitalize the study of Chilean rural history through critical dialogue with foundational interpretations from the 1970s, leaving behind the conventional reiterations of the 1980s. © 2020 SEHA.</t>
  </si>
  <si>
    <t>10.26882/histagrar.081e04r</t>
  </si>
  <si>
    <t>Rodrigo L.M.; Atienza M.</t>
  </si>
  <si>
    <t>Migration and Performances Regional: Discourses on Antofagasta Region; [Migración y representaciones regionales: Discursos sobre la Región de Antofagasta]</t>
  </si>
  <si>
    <t>Migration; Regional and local development; Urban sociology</t>
  </si>
  <si>
    <t>Research on internal migration has been traditionally based on a banal conception of space, without taking into account how regional representations, the socially constructed space, affect the decision of migrating to another region. This work uses the methodologies of discussion group and sociological discourse analysis to identify the discourses of future professionals from other regions in Chile about the Region of Antofagasta, a mining area located in Northern Chile. Despite the growing prosperity of this region during the past two decades, the discourses that represent Antofagasta have a negative denotation with different features according to the socio-spatial distance to this region and gender. These representations could reduce the arrival of qualified migrants and women to Antofagasta and negatively affect the future development of the region. © EURE.</t>
  </si>
  <si>
    <t>Rodrigo, Luis Miguel; Mateo-Peinado, Luis</t>
  </si>
  <si>
    <t>Internal migration and economic mobility in Chile</t>
  </si>
  <si>
    <t>REGIONAL STUDIES</t>
  </si>
  <si>
    <t>economic mobility; internal migration; limited rationality; social mobility; social reproduction strategy; R23</t>
  </si>
  <si>
    <t>We identify internal migration flows between Chilean regions and analyse migrants' economic mobility. A data pool from National Socioeconomic Characterization Survey (CASEN) surveys was used to determine migrants' economic position according to their income quintile. Internal migrants were matched with non-migrants of similar status from their region of origin to compare their economic mobility. Results show that the majority of internal migrants did not achieve economic advancement in the short and medium terms, which challenges the neoclassical and functionalist assumptions of a positive relationship between migration and social mobility. Finally, we identify three interregional elevators in Chile: the Austral, Norte Grande and Metropolitan macro-regions.</t>
  </si>
  <si>
    <t>10.1080/00343404.2023.2271512</t>
  </si>
  <si>
    <t>Rodríguez C.G.; Tule L.G.</t>
  </si>
  <si>
    <t>Honduras 2019: Persistent economic and social instability and institutional weakness; [Honduras 2019: Persistente inestabilidad económica y social y debilidad institucional]</t>
  </si>
  <si>
    <t>Corruption; Economic policy; Honduras; Migration; Violence</t>
  </si>
  <si>
    <t>This work analyzes the scenario in which Honduras found itself during 2019, through the review of economic indicators and the most relevant social and political events that have occurred in the Central American country. 2019 was distinguished by the persistence or worsening of long-standing problems. In economic terms, limited progress is insufficient to reduce the high levels of poverty and inequality. In social matters, violence continues as one of the pending commitments of the second administration of Juan Orlando Hernández. While in political matters, corruption returns to the center of the debate and abuses of power and human rights violations do not stop. All these factors have increased the social discontent expressed in social movements and have caused the emigration of thousands of Hondurans. © 2020, Pontificia Universidad Catolica de Chile. All rights reserved.</t>
  </si>
  <si>
    <t>Rodríguez J.C.; Medina D.; Gissi N.; Bravo A.</t>
  </si>
  <si>
    <t>Miscegenation and recent immigration in the context of the constituent debate: Reconfiguring Chilean cultural identity?; [Mestizaje e inmigración reciente en contexto del debate constituyente: ¿reconfiguración de la identidad cultural chilena?]</t>
  </si>
  <si>
    <t>Hybridism; Migration; Miscegenation; National Identity; New Constitution</t>
  </si>
  <si>
    <t>The increasing arrival of migrants to Chile during the last ten years not only implies a demographic change, but also in the imaginary and discursive plane, reconfiguring the bases of Chilean identity, anchored in a miscegenation conceived as binary and static. We briefly explore how national identity has been constructed in other Latin American countries to suggest how the current recomposition of Chilean cultural identity can be analyzed. We argue that the context of constituent process in which Chile finds itself problematizes “the question of miscegenation”. We account for the greater hybridity that “Chilenidad” has recently acquired, based on the residence of Latin American migrants, and we analyze the participation of the migrant communities in the constituent discussion, which puts citizenship limited to the nationality, also valuing the neighborhood and roots. © 2024, Fondazione Centro Studi Emigrazione. All rights reserved.</t>
  </si>
  <si>
    <t>Rodriguez Torrent, Juan Carlos; Reyes Herrera, Sonia; Mandujano Bustamante, Fernando</t>
  </si>
  <si>
    <t>Spatial reconfiguration and patterns of appropriation and use of land in the Chilean Patagonia: migration by lifestyle change, conservation parks and economy of experience</t>
  </si>
  <si>
    <t>Regional zoning models; Nature; Capitalism; Patagonia</t>
  </si>
  <si>
    <t>Understanding territorial transformations in the framework of a global society implies approaching them from the perspective of redefining the capital-nature relationship, as outlined by extractive capitalism. What place does Chilean Patagonia holds in reference to the value assigned to nature? It is posited here that the singularity offered by the patagonic territory and landscape allows for the development of new conceptualizations in order to generate material and symbolic meaning. Therefore, it is possible to identify three fundamental changes that represent different modes of territorial appropriation, land use and configuration models, supported by the conceptualization of nature as a commodity: 1) Migration in search a change in lifestyle; 2) national parks defined through the sale of carbon credits and a biocentric philosophy and 3) Tourism and the experience-based economy. Our results correspond to a qualitative and synchronic research based approach, using a three-way systemic analysis of data gathered from various primary and secondary sources.</t>
  </si>
  <si>
    <t>Rodríguez Vargas J.M.; Vargas-Valle E.D.; Jaramillo A.M.L.</t>
  </si>
  <si>
    <t>The Affiliation to the Health System among Venezuelan Migrants in Colombia; [La afiliación al sistema de salud de personas migrantes venezolanas en Colombia]</t>
  </si>
  <si>
    <t>Poblacion y Salud en Mesoamerica</t>
  </si>
  <si>
    <t>affiliation to the health system; Colombia; migration; Venezuela</t>
  </si>
  <si>
    <t>Introduction: Venezuelan migrants’ access to the health system is fundamental to their survival and future well-being. This article aims to analyze the level of affiliation to the health care system of these migrants in the urban areas in Colombia by arrival periods and the associated sociodemographic and labor factors. Methodology: To this end, quantitative analysis is done based on descriptive and inferential statistical analyses of the 2018 Gran Encuesta Integrada de Hogares, which is a representative survey for Colombia and its 13 more important urban areas. We use the modules on migration, sociodemographic variables of the household and occupation relative to the population aged 14 to 65. Results: Only 24,5% of Venezuelan migrants are affiliated with any health care provider in contrast to 93% of Colombians. The levels of affiliation diminished from 82% among Venezuelans who arrived in 2013 or before to 10% among Venezuelans who arrived in 2017-2018. Venezuelans registered in the health system are a select population in sociodemographic terms; younger, more educated, with more labor participation and higher income than the native population in Colombia. The low insertion of Venezuelan immigrants in jobs with a written contract restricts this enrollment. Conclusions: The Venezuelans in Colombia have a very limited affiliation with the health system. Even though this is a right protected by international and national legal frameworks, Venezuelans encounter economic, political, and social barriers to exercise it in Colombia. © 2021, Universidad de Costa Rica. All rights reserved.</t>
  </si>
  <si>
    <t>10.15517/psm.v18i2.42795</t>
  </si>
  <si>
    <t>Rodríguez Venegas, Viviana; Duarte Hidalgo, Cory</t>
  </si>
  <si>
    <t>Experiencia etnográfica con/sobre mujeres colla: Crianzas y prácticas de cuidado</t>
  </si>
  <si>
    <t>CUHSO (Temuco)</t>
  </si>
  <si>
    <t>Feminist ethnography; colla women; care practices; ancestral knowledge</t>
  </si>
  <si>
    <t>Abstract This article presents an ethnographic study that investigates the care practices and experiences of raising Colla women in the Atacama region, Chile. The research is positioned from the feminist ethnography, since it is located and focused on the participants, recognizing them as cultural creators. The main results show varied knowledge and care practices associated with the upbringing of boys and girls, as well as life stories from the Andes that shape their upbringing and their new ways of (re) signifying care. The main conclusion is that care practices are historically constructed and embodied in the bodies and collective memory of Colla women, which are configured as ancestral knowledge. This allows them to position themselves as a cultural transmitter in their indigenous communities, being the mountain range tradition, forced migration, community life, collective motherhood and patriarchal violence key issues in their discourse.</t>
  </si>
  <si>
    <t>10.7770/cuhso-v33n1-art625</t>
  </si>
  <si>
    <t>Rodriguez Vignoli, Jorge</t>
  </si>
  <si>
    <t>Migration of Latin American Big Cities: The Rejuvenating Effect 1975-2010</t>
  </si>
  <si>
    <t>Internal migration; Urbanization; Cities; Age structure; Life course; Youth</t>
  </si>
  <si>
    <t>Some theories foresee an economic decline of large cities as well as a reversal of their migratory appeal. Other theories predict its strengthening as centers of control and command in the globalized economy, keeping its migratory appeal, eventually more selective in socioeconomic terms. This debate ignores the selectivity by age of migration, and in particular, the historic attraction of large cities for young people. Then, through the intensive use of census microdata from the 1980s to 2010 of twenty large cities in Latin America, internal migration age rates are estimated and the effects of internal migration on growth and age composition are calculated, the latter by using fresh procedures. The results confirm that cities are still drawing young people, although at a lower rate, and migration still rejuvenates large cities.</t>
  </si>
  <si>
    <t>10.31406/relap2020.v14.i1.n26.7</t>
  </si>
  <si>
    <t>Rodriguez Vignoli, Jorge; Espinoza, Daniel</t>
  </si>
  <si>
    <t>Recovery attractive metropolitan migration in the period 2004-2009: exogenous or endogenous factors?</t>
  </si>
  <si>
    <t>Internal migration; suburbanization; urban sprawl; urban renewal</t>
  </si>
  <si>
    <t>Two issues related to the trends of localization and spatial mobility of the Chilean population, are examined. The first concerns the loss in recent years of the migratory attractiveness registered in the Metropolitan Region and in the Metropolitan Area of Greater Santiago, which could ease or reverse as a result of structural processes that strengthen the role of the metropolis in global and national development, and also as a consequence of adverse circumstances facing the economies of regions which had lately become a migratory alternative for Santiago's inhabitants. The second issue concerns the well-documented process of peripheral expansion, the suburbanization of the upper social stratum and the depopulation of downtown areas, which could tend to abate due to a number of factors, among which include increasing costs and commuting times, renewed housing options offered in the East End and public policies aimed at promoting living downtown and surrounding areas. The trends of regional, metropolitan and communal migratory attractiveness are measured using census micro data and the CASEN survey, which has incorporated a migration module since 2006. The main findings of the empirical analysis, which is to be considered preliminary and exploratory, focused on the new evidence offered by the CASEN 2009 survey for the 2004-2009 period, tend to support, with nuances in some cases, these hypotheses, although further detailed studies would be required to establish more solid conclusions.</t>
  </si>
  <si>
    <t>Rodríguez-Díaz P.; Almuna R.; Marchant C.; Heinz S.; Lebuy R.; Celis-Diez J.L.; Díaz-Siefer P.</t>
  </si>
  <si>
    <t>The Future of Rurality: Place Attachment among Young Inhabitants of Two Rural Communities of Mediterranean Central Chile</t>
  </si>
  <si>
    <t>Belonging; Rural exodus; Rural livelihood; Rural migration; Rural youth</t>
  </si>
  <si>
    <t>Rural livelihoods are under threat, not only from climate change and soil erosion but also because young people in rural areas are increasingly moving to urbanized areas, seeking employment and education opportunities. In the Valparaiso region of Chile, megadrought, soil degradation, and industrialization are driving young people to leave agricultural and livestock activities. In this study, our main objective was to identify the factors influencing young people living in two rural agricultural communities (Valle Hermoso and La Vega). We conducted 90 online surveys of young people aged 13–24 to evaluate their interest in living in the countryside (ILC). We assessed the effect of community satisfaction, connectedness to nature, and social valuation of rural livelihoods on the ILC. The results show that young people were more likely to stay living in the countryside when they felt satisfied and safe in their community, felt a connection with nature, and were surrounded by people who enjoyed the countryside. These results highlight the relevance of promoting place attachment and the feeling of belonging within the rural community. Chilean rural management and local policies need to focus on rural youth and highlight the opportunities that the countryside provides for them. © 2022 by the authors. Licensee MDPI, Basel, Switzerland.</t>
  </si>
  <si>
    <t>10.3390/su14010546</t>
  </si>
  <si>
    <t>Rodríguez-Puello G.; Iturra V.</t>
  </si>
  <si>
    <t>Does a higher cultural supply raise cultural consumption? The association between individual and city traits and cultural consumption in Chile</t>
  </si>
  <si>
    <t>Annals of Regional Science</t>
  </si>
  <si>
    <t>While cultural economics and urban economics literatures have well established that more able individuals tend to prefer mostly cities with a high level of cultural amenities and schooling is one of the main individual determinants of the cultural consumption, there is no empirical evidence on whether cities specialized in culture boost cultural consumption of their residents. This research takes a step back compared to most studies and directly tests whether—controlling for individual characteristics—the higher the city cultural supply, the higher the probability of consuming cultural goods. Using data for 2017 from Chile and an instrumental variable approach, the results suggest that cities’ cultural employment shape workers’ decisions to consume cultural goods. A positive impact of city cultural supply on cultural consumption is found for both aggregated and disaggregated cultural goods, a robust result even under weaker exclusion restrictions of the instrument. © 2022, The Author(s).</t>
  </si>
  <si>
    <t>10.1007/s00168-022-01189-9</t>
  </si>
  <si>
    <t>Rodriguez-Puertas, Ruben</t>
  </si>
  <si>
    <t>Young Spanish migrants in Chile: between professional growth and a lack of social welfare</t>
  </si>
  <si>
    <t>Spanish emigration; young migrants; qualified migration; migration processes; labour mobility</t>
  </si>
  <si>
    <t>The present paper, based on a research carried out in Chile between March and June 2016, on the one hand studies the sociodemographic characteristics and the profiles of those Spanish citizens who obtained their resident visa during the period 2010 2015 and, on the other hand, tries to understand the migration processes and the sociocultural insertion of those migrants. The first goal is achieved by analyzing the statistics provided by the Chilean Department of alien status and migration. The second one has been carried out following the procedures of the Grounded Theory to analyze the discourses obtained through a discussion group and eleven in depth interviews with Spanish residents in Chile. The age of the participants was between 25 and 35 years, they had an university degree, and arrived in the country between 2010 and 2015. Through these analyses, the research shows how Spanish migration is composed mainly of young people qualified in technical professions like engineering, architecture or geology. Likewise, the way in which these migrants -self styled 'labor exiles'- seem to follow a socio cultural insertion in Chilean society that we could define as nostalgic and which is characterized, mainly, by the idealization of the context of departure and return, becomes evident.</t>
  </si>
  <si>
    <t>10.30827/cuadgeo.v59i3.9177</t>
  </si>
  <si>
    <t>Rodriguez-Torrent, Juan; Vargas Callegari, Rodrigo</t>
  </si>
  <si>
    <t>South-South migration to Chile: Perspectives, analysis and elements for discussion</t>
  </si>
  <si>
    <t>COLLECTIVUS-REVISTA DE CIENCIAS SOCIALES</t>
  </si>
  <si>
    <t>migration; national state; inequality; segmented assimilation; management of others</t>
  </si>
  <si>
    <t>The understanding of international migrations constitutes one of the main challenges of the social sciences today, as an inherent effect of the post-Fordist capitalist model, within a post-colonial historical context. The reflection framework is located in the national and transnational sphere, and involves processes, co-productions and links between nation-states, which implies the crossing of limits and the establishment of culture in micro-spaces, mainly urban, in foreign territories. In three decades the challenge has gone from the problem of identity, asymmetric relationships with others and assimilation, to the issue of recognition and citizenship rights, transcending the dichotomy between origin and destination, as well as between center and periphery. The trip, the exchanges, the networks, the installation, and services that open and close, are only some perspectives of a constellation of problems and objects that complicate his reflection. This work presents some analytical and theoretical results of the South-South migratory process, based on a permanent flow of reception of migrants in Chile, within a neoliberal and refractory political scheme in the economic sphere, which makes it difficult to read the impacts on populations and communities.</t>
  </si>
  <si>
    <t>10.15648/Collectivus.vol10num2.2023.3801</t>
  </si>
  <si>
    <t>Rodriguez-Vignoli, Jorge</t>
  </si>
  <si>
    <t>Concentration in Greater Santiago and migration: population, housing and human resources 1977-2017</t>
  </si>
  <si>
    <t>spatial concentration; migration; metropolization</t>
  </si>
  <si>
    <t>A high percentage of Chilean economic and human resources are concentrated in Santiago, but there is debate about this pattern's persistence. Migration is a crucial driver of the redistribution and deconcentration of the spatial distribution of the population. To empirically examine Santiago's potential deconcentration, specify its territorial scope, and estimate the role of migration in this process, microdata of the last four official censuses of the country are exploited to produce traditional and innovative indicators. Also, other dimensions of deconcentration are analyzed, particularly housing. The results suggest that internal migration has supported Santiago's real deconcentration since the end of the last century. However, this effect has been counteracted by international in-migration. Additionally, the swing towards net out-migration from Santiago has differed among population groups and, paradoxically, has contributed to strengthening the base of young and skilled human resources in the city.</t>
  </si>
  <si>
    <t>10.7764/eure.48.143.03</t>
  </si>
  <si>
    <t>Rodriguez-Vignoli, Jorge; Rowe, Francisco</t>
  </si>
  <si>
    <t>How is internal migration reshaping metropolitan populations in Latin America? A new method and new evidence</t>
  </si>
  <si>
    <t>POPULATION STUDIES-A JOURNAL OF DEMOGRAPHY</t>
  </si>
  <si>
    <t>internal migration; Latin America; socio-demographic composition; spatial impact; migration analysis</t>
  </si>
  <si>
    <t>Internal migration is a key driver of patterns of human settlement and socio-economic development, but little is known about its compositional impacts. Exploiting the wide availability of census data, we propose a method to quantify the internal migration impacts on local population structures, and estimate these impacts for eight large Latin American cities. We show that internal migration generally had small feminizing, downgrading educational, and demographic window effects: reducing the local sex ratio, lowering the average years of schooling, and raising the share of working-age population due to an increased young adult population. Over time, a rise in the proportion of males and a drop in the share of the young adult population moving into cities reduced the feminizing and demographic window effects. Concurrently, a rise in the average years of schooling associated with people moving into cities attenuated the downgrading impact of internal migration on local education levels.</t>
  </si>
  <si>
    <t>10.1080/00324728.2017.1416155</t>
  </si>
  <si>
    <t>Rodriguez, Jorge; Paez, Katherine; Abarca, Cristobal; Becker, Ignacio</t>
  </si>
  <si>
    <t>Did the Metropolitan Area of Greater Santiago lose its appeal? Yes but no. An examination based on novel data and procedures for the estimation of internal migration and its effects during the period 1977-2013</t>
  </si>
  <si>
    <t>metropolization; migration; socio-territorial transformations</t>
  </si>
  <si>
    <t>Internal migration has quantitative and qualitative effects on the Metropolitan Area of Greater Santiago (mags). These effects can influence the demographic and socio-economic development of mags, of which academic hypotheses and political arguments have been found. To estimate these effects, the authors used the latest censuses-with the exception of year 2012-and casen (Socio-economic Characterization) surveys, as well as new methodologies. The results show a gradual loss of attractiveness of mags, although they also reveal that this trend has irregularities and partially depends on the geographic definition of the mags. The results also show that the effects of internal migration on the socio-demographic composition of mags are beneficial for the metropolis because it rejuvenates and increases the educational level of the population, which contributes to strengthen the dominant position of mags within the network of cities.</t>
  </si>
  <si>
    <t>Roitman K.</t>
  </si>
  <si>
    <t>Mothering the state: Ecuadorian migrant mothers in the United Kingdom</t>
  </si>
  <si>
    <t>Crossings</t>
  </si>
  <si>
    <t>Ecuador; Identity; Immigrant mothers; Integration; Migration; Motherhood; United Kingdom; Women</t>
  </si>
  <si>
    <t>Women, as immigrant mothers, embody the creation of new identities that drink from distant roots but must survive in the present land. This article investigates the experience of Ecuadorian women who have become mothers in the United Kingdom, seeking to understand how they conceptualize their identity as Ecuadorians and whether and how they are relaying and nurturing this identity in their children. The article’s analysis is based upon semi-structured, extended interviews with several Ecuadorian women in southern England, with a focus upon the individual experiences of these women as migrants; how they experienced their changing identity as they entered motherhood; how they straddled two cultures as their children grew in Europe; how they understand themselves and their children as Ecuadorian; and how they see Ecuador from the perspective of immigrant mothers. Delving into discussions of the gendered creation of national identities, this article also explores how immigrant mothers birth the state through narratives and memories and seeks to understand how these narratives have been affected by migration and acculturation. © 2020 Intellect Ltd Article. English language.</t>
  </si>
  <si>
    <t>10.1386/cjmc_00013_1</t>
  </si>
  <si>
    <t>Rojas Gaviria, Pilar; Cardoso, Flavia; Scaraboto, Daiane; De Araujo Gil, Luciana</t>
  </si>
  <si>
    <t>Motherhood in migration: schools as acculturation agents</t>
  </si>
  <si>
    <t>CONSUMPTION MARKETS &amp; CULTURE</t>
  </si>
  <si>
    <t>Motherhood; gender; acculturation; school; rituals; migration</t>
  </si>
  <si>
    <t>Motherhood roles lie at the intersection of gender, professional, family, and social identities and are highly contextualized in culture, making them particularly relevant for acculturation success. We provide an empirical example of how schools act as acculturation agents, using the experiences of career-oriented migrant mothers whose children attend elite private schools in Santiago, Chile. This study contributes to consumer acculturation research and to research on matricentric feminism, which positions mothers' concerns as the starting point for theories, politics, and practices of empowerment. We employ Turner's notion of root paradigms to discuss how schools maneuver their unique institutional agentic power, acculturating career-oriented migrant mothers and their families into a cultural framework of female domesticity and intensive mothering.</t>
  </si>
  <si>
    <t>10.1080/10253866.2018.1512245</t>
  </si>
  <si>
    <t>Rojas I.M.; Pidgeon A.M.; Radeloff V.C.</t>
  </si>
  <si>
    <t>Restoring riparian forests according to existing regulations could greatly improve connectivity for forest fauna in Chile</t>
  </si>
  <si>
    <t>Conservation planning; Habitat connectivity; Land use policy; Landscape restoration; Watershed</t>
  </si>
  <si>
    <t>Habitat connectivity is essential to facilitate species movement across fragmented landscapes, but hard to achieve at broad scales. The enforcement of existing land use policies could improve habitat connectivity, while providing legal support for implementation. Our goal was to evaluate how forest connectivity is affected if forests are restored according to existing riparian buffer regulations in Chile. We simulated forest restoration within 30 and 200 m of rivers in 99 large watersheds, following two sections of the forest regulation. We mapped habitat for two model forest species that have different minimum habitat sizes (15 and 30 ha), and for each we identified forest habitats and corridors using image morphology analysis. To quantify change in connectivity, we used a network graph index, the Relative Equivalent Connected Area. We found that both 30- and 200-m riparian buffers could have a positive effect on habitat connectivity. The 200-m buffers increased connectivity the most where forest cover was 20–40% (40% mean increase in connectivity index), while the 30-m buffers increased connectivity the most where forest cover was 40–60% (30% mean increase in connectivity index). The effect of riparian restoration scenarios was similar for both model species, suggesting that effective implementation of existing forest regulation could improve connectivity for fauna with a range of minimum habitat size requirements. Our findings also suggest that there is some flexibility in the buffer sizes that, if restored, would increase habitat connectivity. This flexibility could help ease the social and economic cost of implementing habitat restoration in productive lands. © 2020 Elsevier B.V.</t>
  </si>
  <si>
    <t>10.1016/j.landurbplan.2020.103895</t>
  </si>
  <si>
    <t>Rojas Mira, Claudia Fedora</t>
  </si>
  <si>
    <t>Chilean political exiles and economic migration in the Venezuela of the seventies</t>
  </si>
  <si>
    <t>political exiles; political migrants; economic migrants; Chilean; Venezuela; seventies</t>
  </si>
  <si>
    <t>This article is a product of a wider investigation about Chilean political exile in Venezuela during the seventies. In this text we want to approach the phenomenon through its protagonists, describing the reasons for their departure, the context of expulsion and the context of reception. Our objective is to analyze the political exile as a phenomenon that has specific characteristics and that distinguish it from other migrations, towards Venezuela, which occurred in the same period, but due to economic reasons.</t>
  </si>
  <si>
    <t>Rojas Pedemonte, Nicolás; Amode, Nassila; Vásquez Rencoret, Jorge</t>
  </si>
  <si>
    <t>Racismo y matrices de “inclusión” de la migración haitiana en Chile: elementos conceptuales y contextuales para la discusión</t>
  </si>
  <si>
    <t>migration; racism; economic integration; Haiti; Chile; social exclusion</t>
  </si>
  <si>
    <t>This analysis focuses on the representations and experiences of racism and exclusion in relation to socio-cultural matrices identified by Haitian migrants as aspects that could improve the chances of integration in the Chilean society. It contextualizes the process in a particular historical, social and political moment both in the country of origin as that of destination; developing along the concepts of neo-racism and subtle racism to describe experiences, practices and cognitions present in the speeches of haitian migrants in Chile.</t>
  </si>
  <si>
    <t>Rojas Silva, Belén; Martínez-Conde, Catalina Álvarez</t>
  </si>
  <si>
    <t>(Re)construcciones de la categoría migrante en las memorias de mujeres chilenas en región parisina</t>
  </si>
  <si>
    <t>memory; migration; mobility; Chile; France</t>
  </si>
  <si>
    <t>Abstract In this article, we address the effects of the elaborations of the past on the situated production of the migrant category. Through the narratives of position regarding mobility and immobility of 24 Chilean women in the Parisian region, we identify conflictive (re)constructions of the migrant. The category is nourished by the role of memory in the significant creation of territories, temporalities and social relations, reproducing and also questioning the meanings offered by physical and social borders. This is a contribution to the understanding of the reciprocity between memories and migrations, revealing that it is not only migrant trajectories that construct memories, but that memory-making also participates in the construction of these trajectories, through reinterpretations of their meanings, orientations and possibilities.</t>
  </si>
  <si>
    <t>10.1590/1980-85852503880006912</t>
  </si>
  <si>
    <t>Rojas V.S.</t>
  </si>
  <si>
    <t>Developing intercultural communicative competence in an haitian creole language acquisition program in Chile; [Desarrollo de la competencia comunicativa intercultural en un programa de adquisición de la lengua criollo haitiana en Chile]</t>
  </si>
  <si>
    <t>Ikala</t>
  </si>
  <si>
    <t>Chile; Haitian creole; Inclusion; Intercultural communicative competence; Language acquisition; Migration</t>
  </si>
  <si>
    <t>This article aims to describe the results of a Haitian Creole language acquisition program, looking to foster intercultural communicative competence among Chilean officers, and favor migrant inclusion. The program, based on the intercultural communicative competence, had a duration of 50 hours, beginning with three sessions that present what the migration process means, the country of origin of the migrants, delivered by migrants, who then become linguistic mediators, and several linguistic aspects of Spanish and Haitian Creole languages. Data on the results of the program were collected through an interview and a language skills test, administered to the participants, to officers from the Investigation Police, and to health care practitioners, at the end of its implementation. The results show that the program favors the link between individuals from different cultural backgrounds, since it relies upon the exchange of participants having equally valued knowledge, and promotes the participation of learners in managing their learning and anticipating the context they will face. This facilitates the inclusion of migrant people, speaking a different language from that of the host society, which gives them a greater likelihood to successfully insert themselves in labor, educational and cultural settings. © 2020 Universidad de Antioquia.</t>
  </si>
  <si>
    <t>10.17533/udea.ikala.v25n01a09</t>
  </si>
  <si>
    <t>Rojas-Lizana S.; Cordella M.</t>
  </si>
  <si>
    <t>Ageing in a foreign land: Stressors and coping strategies in the discourse of older adult Spanish speakers in Australia</t>
  </si>
  <si>
    <t>Transitions: Journal of Transient Migration</t>
  </si>
  <si>
    <t>ageing; Australia; CALD senior Spanish speakers; coping strategies; discourse analysis; migration</t>
  </si>
  <si>
    <t>Using discourse analysis we explore the connections between ageing and coping in the discourse of culturally and linguistically diverse (CALD) older Spanish speakers in Australia in relation to the stressor ‘uncertainty about future care’. We examined nineteen semi-structured interviews of CALD seniors living in Brisbane to identify and analyse discursively the coping strategies that they used when talk-ing about future care giving. The results indicate that the participants use active and passive coping strategies to deal with their stressors. The active strategies favour a connection between family members and community support, while the passive strategies show a level of self-protective resignation about what the future holds for them by resorting to religious comfort. Although participants express preference for the way care was provided to older people in their country of origin, they also seem resigned to their children adopting Anglo-Australian customs, and justify this choice as an unavoidable product of cultures in contact. © 2020 Intellect Ltd Article. English language.</t>
  </si>
  <si>
    <t>10.1386/TJTM_00010_1</t>
  </si>
  <si>
    <t>Rojo-Mendoza F.; Alvarado-Peterson V.; Olea-Peñaloza J.; Salazar-Burrows A.</t>
  </si>
  <si>
    <t>Defining Metropolitan Temuco: Considerations for a new extended urbanization model in la Araucania; [Definiendo el Temuco metropolitano: Consideraciones para un nuevo modelo de urbanización extendida en la Araucanía]</t>
  </si>
  <si>
    <t>Daily mobility; Functional metropolitan area; Migration; Peri-urbanization</t>
  </si>
  <si>
    <t>Metropolitan areas are defined as densely populated areas characterized by conurbation and a capacity to expand towards the periphery. Technically speaking, Chile has three metropolitan areas: Valparaiso, Concepcion, and Santiago. Such definition, however, minimizes the role of variables such as migration, mobility, and the labor market in the establishment of a functional metropolitan area. This work is aimed at discussing the existence of a functional metropolitan area in Temuco. Processing census databases and social statistics, in addition to a descriptive and relational treatment of the aforementioned variables, the work displays the way in which Temuco-as a metropolitan area-impacts communes with high levels of migration and mobility. This changes between 2002 and 2012, moving from a concentrated and immediate area of influence to a decentralized and atomized one, thus extending Temuco's area of influence. © 2020, Universidad Austral de Chile.</t>
  </si>
  <si>
    <t>10.4206/aus.2020.n27-06</t>
  </si>
  <si>
    <t>Rojo-Mendoza, Felix</t>
  </si>
  <si>
    <t>Spatial preferences and counterurbanization in Temuco, Chile: between the pleasure of the natural and residential anonymity</t>
  </si>
  <si>
    <t>GEOGRAFISKA ANNALER SERIES B-HUMAN GEOGRAPHY</t>
  </si>
  <si>
    <t>Habitus; spatial preferences; social class; natural amenity</t>
  </si>
  <si>
    <t>Counterurbanization tends to be associated with the mid-upper and upper classes moving from cities to rural areas. However, the persistent desire for housing, the permeation of the neoliberal model throughout all society based on the principle of universal consumption, and the exhaustion many people fed with urban life, have ended up relativizing the traditional correspondence between social class, capital, and habitus. This paper describes the narratives of projective spatial preferences in rural areas among different social classes in Temuco, one of the most important cities in Chile. After analyzing 30 interviews, the results point to a spatial preference for the rural areas of the city in all social classes, which in turn is sustained in the value placed on the social isolation that suburban areas offered, a feature that is appreciated even more than the natural amenities provided by these places.</t>
  </si>
  <si>
    <t>10.1080/04353684.2022.2082312</t>
  </si>
  <si>
    <t>Roman M.; Roșca V.I.; Cimpoeru S.; Prada E.-M.; Manafi I.</t>
  </si>
  <si>
    <t>“A Picture Is Worth a Thousand Words”: Youth Migration Narratives in a Photovoice</t>
  </si>
  <si>
    <t>Societies</t>
  </si>
  <si>
    <t>migrants’ integration; migration; participatory action research; photovoice; youth</t>
  </si>
  <si>
    <t>This study focuses on the integration facilitators of young migrants in Romania, as resulting from the information gathered through a Photovoice participatory action research method. Young third country nationals were asked to take photos which they thought best summed up their migration experiences. Next to the photos, the migrants were also asked to submit short texts describing the captured images and the meanings that these had for them, thus adding richness and nuance to the data. The evidence gathered reveals that several factors, such as access to education, interacting with a new culture, and with new places and people, are perceived as opportunities and positive migration outcomes. Therefore, human and social capital, as well as the natural or urban environment in the host country, contribute to the enhancement of integration opportunities for young migrants. The paper sets out to analyze how such factors which can facilitate integration are captured in a PAR. Research results show that young migrants perceive their experiences in Romania as enhanced by some factors through which they advance in their integration paths. © 2023 by the authors.</t>
  </si>
  <si>
    <t>10.3390/soc13090198</t>
  </si>
  <si>
    <t>Román Soto, David</t>
  </si>
  <si>
    <t>Migración Inclusiva en Chile, un Desafío Educativo Vigente</t>
  </si>
  <si>
    <t>Migration; Vulnerability; Inclusion; Diversity; Interculturality</t>
  </si>
  <si>
    <t>Abstract: The purpose of this article is to reflect on migration in Chile, its characteristics and conceptual and statistical approaches that allow the understanding of the current phenomenon when it is observed from the perspective of social vulnerability, considering the consequences it entails for the migrant population when they try to be included in a foreign country. The subject will be approached from what happens with the current public policy in relation to migration and how it has permeated the development of the school and the reflections that arise from it. Then, some researches will be presented that show the way in which the migration phenomenon is approached within formal school contexts and its impact on the development of inclusive educational and learning processes. Finally, from a post-critical approach, both inclusive education and interculturality will provide us with elements that will allow us to elucidate answers to the requirements and needs of the migrant population, regarding the transformation that the school must carry out as an institution, and in particular within the didactic space, in order to consider the diversity of the student body as a fundamental principle.</t>
  </si>
  <si>
    <t>Romano E.; Wu Y.H.; Liu H.</t>
  </si>
  <si>
    <t>Early Mandarin Learning in South America: Present and Future Directions</t>
  </si>
  <si>
    <t>Language Policy(Netherlands)</t>
  </si>
  <si>
    <t>Access policy; Argentina; Chile; Early Mandarin learning; Language-in-education policies; Paraguay</t>
  </si>
  <si>
    <t>The present chapter proceeds from the analysis of language education policies at the state level to the description of program implementation in elementary schools, with a focus on teaching Mandarin at the early grades in three countries: Argentina, Chile, and Paraguay. Since there is a lack of specific guidelines for Mandarin teaching at the state level in all three countries, the chapter focuses on issues of access policy—following the framework provided by Kaplan and Baldauf (Language-in-education policy and planning. In: Hinkel E (ed) Handbook of research in second language teaching and learning. Lawrence Erlbaum, pp 1013–1034, 2005)—describing the efforts made at schools and institutions to provide programs at the primary school level (students of 6–12 years of age) and the rationale to implement them from an early age (kindergarten and first grade). The conclusion presents the common characteristics of programs in all three countries and reflects on the articulation of such programs with language-in-education policies. A final analysis, following a bottom-up approach to language planning, opens up to suggestions about orientations and guidelines for the teaching and learning of Mandarin in South America. © 2021, Springer Nature Switzerland AG.</t>
  </si>
  <si>
    <t>10.1007/978-3-030-76251-3_12</t>
  </si>
  <si>
    <t>Romero-Toledo H.</t>
  </si>
  <si>
    <t>Ethnicities, ethno-territories and mining conflicts: Contributions for a human geography of the Aymaras in Chile; [Etnicidades, etno-territorios y conflictos mineros: Aportes para una geografía humana de los aymaras en Chile]</t>
  </si>
  <si>
    <t>Aymaras; Ethno-territorioes; Etnicity; Norte Grande</t>
  </si>
  <si>
    <t>This article analyzes the phenomenon of the Aymara ethnicity and the creation of ethno-territories in the context of mining conflicts and the indigenous neoliberal politic. The questions that guide this research are: How have the Aymara communities evolved in Northern Chile? What kind of dynamics has been established and in what territories have they been implemented? To answer these questions, the theoretical approaches about ethnicity and ethno-territory will be critically reviewed in the first place, and in the second place, there is an analysis about how ethnicities and ethno-territories take shape, as social construction and political projects, through a perspective that combines the analysis of the specialized literature, interviews, descriptive statistics analysis of secondary sources, and spatial analysis,. © 2018, Revista de Geografia Norte Grande. All rights reserved.</t>
  </si>
  <si>
    <t>Romero, Mileska</t>
  </si>
  <si>
    <t>Experiences of gender violence in Bolivian migrant women residing in Tarapaca, Chile</t>
  </si>
  <si>
    <t>gender violence; legal frameworks; Bolivian migrants; Tarapaca</t>
  </si>
  <si>
    <t>The article addresses the results of a case study on the experiences of vio-lence that affect Bolivian migrants residing in Tarapaca, Chile. The research was carried out in 2019 and the objectives are: to understand how violence affects or alters the migration of those women and to investigate the level of knowledge about the Chilean and Bolivian institutions competent in the mat -ter. The text is structured around three methodological strategies: a review of the state of the art of the debates on the relationship between gender, vi-olence and migration; a documentary analysis of national and international legislation and, application of qualitative interviews to 10 migrants who suf-fered violence by their partners. Within the findings, we corroborate that gen-der violence indeed influences the decision to migrate of the interviewees.</t>
  </si>
  <si>
    <t>e085</t>
  </si>
  <si>
    <t>10.21670/ref.2201085</t>
  </si>
  <si>
    <t>Romo Lopez, Eliana Veronica; Espejo Leupin, Roberto Mauricio; Cesped Pardo, Viviana Andrea; Beltran Leal, Christian</t>
  </si>
  <si>
    <t>THE LINGUISTIC BARRIER IN MIGRANTS: PERCEPTIONS OF MEMBERS OF CHILEAN SCHOOLS AND MIGRATION EXPERTS, REGARDING EDUCATIONAL INCLUSION</t>
  </si>
  <si>
    <t>PERSPECTIVA EDUCACIONAL</t>
  </si>
  <si>
    <t>Migration; educational integration; perception; language barriers; schools</t>
  </si>
  <si>
    <t>The research aims to describe the perception of the school community and some experts on migration, in relation to the Haitian migration phenomenon and the linguistic difficulties as a factor of educational inclusion. The research is carried out through a qualitative approach by applying semi standardized interviews to board, teachers and families of migrant and non-migrant students from two Chilean schools, and to some migration experts as well. The results show that although there are no discrimination situations in the schools, real inclusion is still not present, due to linguistic problems. The main conclusion relates to the need to modify migrant policies in the country and to walk towards the restructuring of School Institutional Projects, in order to adopt curricular adequations for a real inclusion of Haitian students.</t>
  </si>
  <si>
    <t>10.4151/07189729-Vol.59-Iss.3-Art.1038</t>
  </si>
  <si>
    <t>Roniger L.; Senkman L.; Sosnowski S.; Sznajder M.</t>
  </si>
  <si>
    <t>Exile, diaspora, and return: Changing cultural landscapes in Argentina, Chile, Paraguay, and Uruguay</t>
  </si>
  <si>
    <t>Exile, Diaspora, and Return: Changing Cultural Landscapes in Argentina, Chile, Paraguay, and Uruguay</t>
  </si>
  <si>
    <t>Argentina; Chile; Cultural change; Democratization; Diaspora; Forced migration; Paraguay; Political exile; Return policies; Uruguay</t>
  </si>
  <si>
    <t>This book explores how Argentina, Chile, Paraguay, and Uruguay have been affected by postexilic relocations, transnational migrant displacements, and diasporas. It provides a systematic analysis of the formation of exile communities and diaspora politics, the politics of return, and the agenda of democratization in the late twentieth and early twenty-first centuries, focusing on the impact of intellectuals, academics, activists, and public figures who had experienced exile on the reconstitution and transformation of their societies following democratization. Readers are offered a kaleidoscope of intellectual itineraries, debates, and contributions held in the public domain by individuals who confronted and fought authoritarian rule. The book covers their contributions to the restructuring and transformation of scientific disciplines and of the humanities and the arts, as well as their collective institutional impact on higher education, science and technology, and public institutions. Bringing together sociopolitical, cultural, and policy analysis with the testimonies of dozens of intellectuals, academics, political activists, and policymakers, the book addresses the impact of exile on people’s lives and on their fractured experiences, the debates and prospects of return, the challenges of dis-exile and postexilic trends, and, finally, the ways in which those who experienced exile impacted democratized institutions, public culture, and discourse. It also follows some crucial shifts in the frontiers of citizenship, moving analysis to transnational connections and permanent diasporas, including the diasporas of knowledge that increasingly changed the very meaning of being national and transnational, while connecting those countries to the global arena. © Oxford University Press 2018. All rights reserved.</t>
  </si>
  <si>
    <t>10.1093/oso/9780190693961.001.0001</t>
  </si>
  <si>
    <t>Rosas V.P.</t>
  </si>
  <si>
    <t>Demographic profiles of Latin American migration between 1950 and 2010; [Perfiles demográficos de la migración latinoamericana entre 1950 y 2010]</t>
  </si>
  <si>
    <t>Revista de Demografia Historica</t>
  </si>
  <si>
    <t>Demography; Feminization; Latin America; Migration; Typology</t>
  </si>
  <si>
    <t>The contemporary history of Latin American international migration has been exhaustively described in terms of the intensity of its trends, determinants, and consequences. However, the migrants´ demographic profile and its transformations have not received the same attention from the literature. This article describes changes on migration from 1950 to 2010 providing a typology that classifies countries and periods according to migration rates by sex and age using data from United Nations Population Division. Results discuss the timing and magnitude of the so-called feminization, as well as the presumed stability of migration´s age-schedule, and possible interactions between the general level of migration rates and the variation of its demographic profile. © 2019 AsociaciÃ³n de DemografÃ­a HistÃ³rica. All rights reserved.</t>
  </si>
  <si>
    <t>Rovetta Cortés A.I.</t>
  </si>
  <si>
    <t>The Principle of Substitution: The Argentine Contribution to Private Sponsorship Schemes?</t>
  </si>
  <si>
    <t>Argentina; private sponsorship; refugees; resettlement; Syria</t>
  </si>
  <si>
    <t>This paper provides a critical review of the first private sponsorship scheme to be introduced into Latin America in the last decade, the Syria Program, which has been in place in Argentina since 2014. Though the national and international bodies involved in the initiative (including the International Organization for Migration, UNHCR, and the Global Refugee Sponsorship Initiative) have described it as a good practice, a content analysis of their publications indicates that their interpretations may be overly rosy. Unlike refugee sponsorship schemes that have appeared in other countries, the Argentine private sponsorship program does not complement a public state resettlement scheme but rather appears to replace it. © Rovetta Cortés, A. I. 2024.</t>
  </si>
  <si>
    <t>2 Special Issue</t>
  </si>
  <si>
    <t>10.25071/1920-7336.41114</t>
  </si>
  <si>
    <t>Rowe F.; Mahony M.; Graells-Garrido E.; Rango M.; Sievers N.</t>
  </si>
  <si>
    <t>Using Twitter to track immigration sentiment during early stages of the COVID-19 pandemic</t>
  </si>
  <si>
    <t>Data and Policy</t>
  </si>
  <si>
    <t>immigration sentiment; migration; pandemic; sentiment analysis; topic modeling; Twitter</t>
  </si>
  <si>
    <t>Large-scale coordinated efforts have been dedicated to understanding the global health and economic implications of the COVID-19 pandemic. Yet, the rapid spread of discrimination and xenophobia against specific populations has largely been neglected. Understanding public attitudes toward migration is essential to counter discrimination against immigrants and promote social cohesion. Traditional data sources to monitor public opinion are often limited, notably due to slow collection and release activities. New forms of data, particularly from social media, can help overcome these limitations. While some bias exists, social media data are produced at an unprecedented temporal frequency, geographical granularity, are collected globally and accessible in real-time. Drawing on a data set of 30.39 million tweets and natural language processing, this article aims to measure shifts in public sentiment opinion about migration during early stages of the COVID-19 pandemic in Germany, Italy, Spain, the United Kingdom, and the United States. Results show an increase of migration-related Tweets along with COVID-19 cases during national lockdowns in all five countries. Yet, we found no evidence of a significant increase in anti-immigration sentiment, as rises in the volume of negative messages are offset by comparable increases in positive messages. Additionally, we presented evidence of growing social polarization concerning migration, showing high concentrations of strongly positive and strongly negative sentiments.  © The Author(s), 2021. Published by Cambridge University Press.</t>
  </si>
  <si>
    <t>10.1017/dap.2021.38</t>
  </si>
  <si>
    <t>Ruiz-Tagle, Javier; Aguilera, Carolina</t>
  </si>
  <si>
    <t>Colonial Ideologies, Narratives, and Popular Perceptions of Ethno-racial Otherness in the Dynamics of Urban Exclusion: Debates and Evidence from Mexico, Colombia, Chile, and Argentina</t>
  </si>
  <si>
    <t>Race; Ethnicity; Urban exclusion; Latin America; Decolonialism</t>
  </si>
  <si>
    <t>Although ethnic differentiations began with colonialism, racism was not widely addressed in Latin American social sciences until recently, since class perspectives were predominant. Within this, studies on residential segregation and urban exclusion have ignored race and ethnicity, with the exceptions of Brazil and Colombia. However, these issues have recently become crucial because of the adoption of multiculturalism, the impact of postcolonialism and postmodernism, the emergence of black and indigenous social movements, changes in state policy, and new trends in migration. A review of debates and evidence from Mexico, Colombia, Chile, and Argentina shows that persistent colonial ideologies, narratives, and popular perceptions of ethno-racial denial sustain various kinds of urban exclusion in the region. The evidence calls for a new research agenda to decolonize urban studies that adopts a critical perspective on the coloniality of power. Aunque las diferenciaciones etnicas comenzaron con el colonialismo, el racismo no se abordo ampliamente en las ciencias sociales latinoamericanas hasta hace poco, ya que predominaban las perspectivas de clase. Los estudios sobre la segregacion residencial y la exclusion urbana han ignorado la raza y el origen etnico, con excepcion de Brasil y Colombia. Sin embargo, estas cuestiones se han vuelto cruciales recientemente debido a la adopcion del multiculturalismo, el impacto del poscolonialismo y el posmodernismo, la aparicion de movimientos sociales negros e indigenas, los cambios en la politica estatal y nuevas tendencias en la migracion. Una revision de los debates y evidencia en Mexico, Colombia, Chile y Argentina muestra que las ideologias coloniales persistentes, las narrativas y las percepciones populares de la negacion etnoracial sostienen varios tipos de exclusion urbana en la region. La evidencia exige una nueva agenda de investigacion para descolonizar los estudios urbanos y adoptar una perspectiva critica sobre la colonialidad del poder.</t>
  </si>
  <si>
    <t>0094582X211029593</t>
  </si>
  <si>
    <t>10.1177/0094582X211029593</t>
  </si>
  <si>
    <t>Rutherford T.F.; Törmä H.</t>
  </si>
  <si>
    <t>Efficiency of fiscal measures in preventing out-migration from North Finland</t>
  </si>
  <si>
    <t>Computable general equilibrium (CGE) modelling; Payroll taxation; RegFin regional model; Value-added taxation</t>
  </si>
  <si>
    <t>Rutherford T. F. and Torma H. Efficiency of fiscal measures in preventing out-migration from North Finland, Regional Studies. This paper introduces a computable general equilibrium (CGE) model for the Finnish regional economy, RegFin. This multi-sector and interregional model characterizes economic activity in the regions of Lappi, Pohjois-Pohjanmaa, Kainuu, Keski-Pohjanmaa, and the rest of Finland. The macroeconomic effects of a regional policy applied to North Finland are considered to be similar to tax reforms that have been implemented in Norway. Tax incentives affect individual choices regarding both migration and employment. Also studied is a value-added tax reform where labour costs are exempted from the tax base. The simulations seem to indicate that the regional differentiation of the employers' social security contributions and the value-added tax reform could be effective tools of regional policy. © 2010 Regional Studies Association.</t>
  </si>
  <si>
    <t>10.1080/00343400802508786</t>
  </si>
  <si>
    <t>Ryburn, Megan</t>
  </si>
  <si>
    <t>I Don't Want You in My Country: Migrants Navigating Borderland Violences between Colombia and Chile</t>
  </si>
  <si>
    <t>ANNALS OF THE AMERICAN ASSOCIATION OF GEOGRAPHERS</t>
  </si>
  <si>
    <t>borderlands; migration; navigation; South America; violence</t>
  </si>
  <si>
    <t>Through the lens of navigating borderlands, this article brings together the anthropology-derived concept of social navigation (Vigh 2006) with a feminist geography approach to borderlands, enriching both. It is based on ethnographic research with Colombian and Venezuelan migrants along the 4,500-km migration route from the Valle del Cauca, Colombia, to Antofagasta, Chile, and additionally informed by further multisited ethnography in Antofagasta and the Valle del Cauca. The borderlands perspective bridges gaps between migration, border, and mobility studies by combining feminist scholarship on transnational social spaces and borders and violence with a reflexive migration trajectories methodology. It considers how the shifting space of the often violent borderland is constructed through interactions between diverse actors. Paying greater attention to the construction of space enhances the analytical potential of social navigation. In turn, analyzing actors' negotiations of the borderland in terms of navigation illuminates how they move in and through unpredictable spaces. Specifically, this article considers how actors including border officers, transport providers, scammers, and nongovernmental organization workers police, move, and reroute in the borderland. It also reveals how migrants navigate interactions with these varied actors to aguantar (endure/cope/hold on); although not resistance per se, aguantar may sometimes be a form of defiance.</t>
  </si>
  <si>
    <t>10.1080/24694452.2021.1976097</t>
  </si>
  <si>
    <t>Living the Chilean dream? Bolivian migrants' incorporation in the space of economic citizenship</t>
  </si>
  <si>
    <t>GEOFORUM</t>
  </si>
  <si>
    <t>Migration; Citizenship; Economic marginalisation; Labour exploitation; Bolivia; Chile</t>
  </si>
  <si>
    <t>As with most contexts of South-South migration, the Bolivian-Chilean case remains severely under researched. Responding to this paucity of research, this paper addresses Bolivian migrants' inclusions in and exclusions from economic citizenship in Chile. Conceptually, the paper calls for a holistic and spatially aware approach to comprehending migration and citizenship, proposing the overarching conceptual framework of interacting transnational social spaces of citizenship representing its legal, political, social, and economic dimensions. It then focuses particularly on the transnational social space of economic citizenship, using this conceptual approach as a means to bring into better dialogue research on the migrant division of labour, precarious employment, labour exploitation, financial exclusion, and migrant citizenship practices. The analytical potential of the conceptual framework is explored through examining the specific geographies of the Bolivian-Chilean space of economic citizenship to reveal the reality of what is increasingly being referred to as the 'Chilean dream'. Drawing on nine months of multi-sited ethnography and 76 semi-structured interviews, the paper addresses migrants' economic situation in Bolivia before examining their changes in circumstances following migration to Chile, looking particular at the migrant labour niches of wholesale clothing retail, agriculture, and domestic labour. It explores the structural factors leading to economic marginalisation in Bolivia and labour exploitation in Chile. Additionally, it analyses the practices in which migrants may engage to challenge their exclusion from economic citizenship, and the role that migrant organisations play in encouraging, and at times constraining, such practices. (C) 2016 Elsevier Ltd. All rights reserved.</t>
  </si>
  <si>
    <t>10.1016/j.geoforum.2016.08.006</t>
  </si>
  <si>
    <t>Animating migration journeys from Colombia to Chile: expressing embodied experience through co-produced film</t>
  </si>
  <si>
    <t>Arts-based methods; feminist methods; migration; embodied experience; discomfort</t>
  </si>
  <si>
    <t>This paper analyses the process of co-producing an animated film about the migration journeys of Colombian women resident in Antofagasta, Chile. It first establishes the relationship between feminist epistemologies and arts-based methodologies, which hinges on embodiment. It then turns to a detailed discussion of using film co-production as a research method for accessing and expressing embodied experiences of migration. This discussion highlights how moments of discomfort (Gokariksel, Hawkins, Neubert, and Smith, 2021) experienced by the researcher motivated the search for a more collaborative methodological approach that was better attuned to lived experience. This included striving towards more inclusive practices with respect to recruitment, anonymity, and confidentiality. Moments of discomfort also revealed how care and caring responsibilities are entangled with research, and how they gender possibilities of participation and production for community co-producers and artists, as well as for researchers. Finally, through discomfort, lessons were learned about the politics of representing experiences of migration, violence, and endurance, as well as joy. The paper concludes that, whilst by no means a panacea, collaborative arts-based research methods can offer an innovative toolset for exploring embodied experience and for navigating the relational and representational complexities attendant to research.</t>
  </si>
  <si>
    <t>10.1080/1369183X.2024.2345993</t>
  </si>
  <si>
    <t>Ryo E.</t>
  </si>
  <si>
    <t>Deciding to Cross: Norms and Economics of Unauthorized Migration</t>
  </si>
  <si>
    <t>American Sociological Review</t>
  </si>
  <si>
    <t>immigrants; Latinas/Latinos; law; migration; social norms</t>
  </si>
  <si>
    <t>Why are there so many unauthorized migrants in the United States? Using unique survey data collected in Mexico through the Mexican Migration Project, I develop and test a new decision-making model of unauthorized labor migration. The new model considers the economic motivations of prospective migrants, as well as their beliefs, attitudes, and social norms regarding U.S. immigration law and legal authorities. My findings show that perceptions of certainty of apprehension and severity of punishment are not significant determinants of the intent to migrate illegally; however, perceptions of availability of Mexican jobs and the dangers of border crossing are significant determinants of these intentions. In addition, individuals' general legal attitudes, morality about violating U.S. immigration law, views about the legitimacy of U.S. authority, and norms about border crossing are significant determinants of the intent to migrate illegally. Perceptions of procedural justice are significantly related to beliefs in the legitimacy of U.S. authority, suggesting that, all else being equal, procedural fairness may produce greater deference to U.S. immigration law. Together, the results show that the decision to migrate illegally cannot be fully understood without considering an individual's underlying values and norms. © American Sociological Association 2013.</t>
  </si>
  <si>
    <t>10.1177/0003122413487904</t>
  </si>
  <si>
    <t>Saavedra Gallo, Gonzalo; Navarro Pacheco, Magdalena</t>
  </si>
  <si>
    <t>ENABLEMENT IN THE ARTISANAL FISHING SPACE IN CHILE. STRUCTURAL PERSISTENCE AND VARIATIONS IN ECONOMIC INTERMEDIATION</t>
  </si>
  <si>
    <t>Coastal economies; intermediaries; enablement; artisanal fishing; debt</t>
  </si>
  <si>
    <t>This work presents the results of an ethnographic study, supplemented by documentary sources, into enablement processes in coastal economies based largely on artisanal fishing in north-central, southern, and far southern Chile. Defined as the participation of an investor in the artisanal fisherman's activities by advancing capital for the purchase of consumables and equipment against a share of the proceeds, enablement (habilitacion) is considered to be a basic form of structuring; its spatial-temporal expressions are variations of economic intermediation based on indebtedness. Although we have described the clearest and most strongly institutionalized form of enablement on the coast of the far south of Chile, it can also be observed in other latitudes along the coast of the country and in other parts of Latin America. The main historical background of the coastal regions comes from documents and research carried out in the area of Chiloe and Aisen regarding the migrations of sea-lion hunters, lumberjacks, and shellfish collectors to the south of Chile in the 19th and 20th centuries. In these cases, the gangs of workers were issued with consumables for their work and provisions to sustain their families during the season. The ethnographic data include witness reports obtained in Las Guaitecas Islands, Calbuco, Valdivia, and Los Vilos. The analysis reveals the origins of and changes in the enablement model as a persistent expression of economic intermediation in today's artisanal fishing partnerships.</t>
  </si>
  <si>
    <t>10.4067/S0717-73562021005001702</t>
  </si>
  <si>
    <t>Saavedra P.H.; Olmos F.C.Y.; Henriquez S.S.</t>
  </si>
  <si>
    <t>PERSONAL TRAJECTORIES OF ENTREPRENEURSHIPS OF CHILEAN IMMIGRANTS IN ALMERIA (SPAIN); [TRAYECTORIAS PERSONALES DE LOS EMPRENDIMIENTOS LABORALES DE INMIGRADOS CHILENOS EN ALMERÍA (ESPAÑA)*]</t>
  </si>
  <si>
    <t>business; Chile; Chile; Emprendimiento; Entrepreneurship; immigration; inmigración; negocios; trabajo; work</t>
  </si>
  <si>
    <t>Entrepreneurship can be a source of collective and individual social mobility for immigrants. In this context, the article aims to describe the socio-demographic and economic aspects of Chilean immigrant entrepreneurs in the province of Almeria (Spain), describing the particularities of their entrepreneurship. Likewise, we explored the motivations that they had when integrating the working market on their own, and the facilities and obstacles that they had to overcome to start their businesses. We adopted a methodological complementarity approach with questionnaires and in-depth interviews, where ten women and five men who emigrated from Chile to Spain participated. The results show that the incidence of self-employment in Chile is a determinant of starting a business in Spain. Entrepreneurship is mainly carried out in selling services to people and companies, women being more inclined to become entrepreneurs. The motivations to do so are diverse however, they all involve searching for strategies of economic adaptation to their new environment. © 2020. All Rights Reserved.</t>
  </si>
  <si>
    <t>10.4067/S0719-26812020000200077</t>
  </si>
  <si>
    <t>Saez, Paula Larrea; Marques, Joao Filipe</t>
  </si>
  <si>
    <t>'LIVING THREE DIFFERENT LIVES'. SOCIAL TRAJECTORIES AND IDENTITIES OF CHILEAN POLITICAL REFUGEES IN PORTUGAL</t>
  </si>
  <si>
    <t>Chile; exile; diaspora; forced migration; migration; Portugal</t>
  </si>
  <si>
    <t>The Chilean Military coup in 1973 and the following military dictatorship (1973-1990) demolished dreams and projects of social change. As a result, major consequences affected the country and its citizens. These had a repercussion not only on Chilean territory but also overseas due to the massive Chilean migration seeking asylum and refugee status around the world. This article seeks to analyze the experiences reported by Chilean migrants residing in Portugal, who have a very specific feature differentiating them from the rest of the economic immigrants: they are all 'former political refugees'. We will show through the life stories of these Chilean migrants and the significance they attribute to the experience of exile, how they have constructed and reconstructed their identity, their culture and their referents.</t>
  </si>
  <si>
    <t>Sagner-Tapia, Johanna; Matarrita Cascante, David; Zunino, Hugo Marcelo; Tijmes-Ihl, Jaime</t>
  </si>
  <si>
    <t>Narratives and Self-Reflective Process of Lifestyle Migrants: The Quest for the Good Life</t>
  </si>
  <si>
    <t>RURAL SOCIOLOGY</t>
  </si>
  <si>
    <t>This article analyses the self-reflective process and narratives of 12 lifestyle migrants who settled between 1990 and 2010 in a rural Andean community in southern Chile. The results show that the time of their arrival and the migrants' life stages were relevant in their reflective process regarding belongingness to the local community and other migrants, the search for an ontological sense and a critical perspective into how their migration affected rurality. The article discusses how rural fantasies and dissatisfaction with modern urban life are central elements in constructing a self and we-image, as well as a compass that enables them to integrate into the rural community while becoming increasingly aware of how their presence inevitably changes rurality.</t>
  </si>
  <si>
    <t>10.1111/ruso.12514</t>
  </si>
  <si>
    <t>Salas-Wright C.P.; Mejía-Trujillo J.; Maldonado-Molina M.M.; García M.F.; Bates M.; Schwartz S.J.; Calderón I.; Pérez-Gómez A.</t>
  </si>
  <si>
    <t>Interplay of Premigration Crisis Exposure and Postmigration Cultural Stress on Depressive Symptoms Among Venezuelan Crisis Migrants in Colombia</t>
  </si>
  <si>
    <t>Cultural Diversity and Ethnic Minority Psychology</t>
  </si>
  <si>
    <t>crisis migration; depression; discrimination; migration; Venezuela</t>
  </si>
  <si>
    <t>Objectives: A growing body of research points to a relationship between exposure to migration-related cultural stress and mental health problems. However, such research is often conducted with the tacit assumption that postmigration experiences are the primary—if not singular—driver of psychological distress. In the present study, we aim to extend the cultural-stress paradigm by examining the influences of both premigration crisis exposure and postmigration cultural stress on depression in a sample of Venezuelan crisis migrants in Colombia. Method: Survey data for the present study were collected from Venezuelan youth (N = 429, ages 12–17, Mage = 14.0 years, 49% female) and adults (N = 566, ages 18+, Mage = 35.1 years, 82% female) in Bogota and Medellin, Colombia between April and June 2023. Results: Both crisis exposure and discrimination were independently related to depressive symptoms. However, when examined in a multivariate model along with discrimination, crisis exposure was not a significant predictor of depressive symptoms among youth, and its influence weakened considerably among adults. Among both youth and adults, a Crisis Exposure × Discrimination interaction term significantly predicted depressive symptoms, indicating that discrimination was a more robust predictor of depressive symptoms among those endorsing lower levels of crisis exposure than among those reporting high levels of crisis exposure. Conclusion: Our research provides new insights into the experiences of Venezuelan migrant youth and adults in Colombia. It provides further support for the importance of drawing from a crisis-informed cultural-stress framework when working with crisis migrant populations. © 2024 American Psychological Association</t>
  </si>
  <si>
    <t>10.1037/cdp0000665</t>
  </si>
  <si>
    <t>Salas, Natalia; Kong, Felipe; Gazmuri, Renato</t>
  </si>
  <si>
    <t>La Investigación Socio Territorial: Una Propuesta para Comprender los Procesos de Inclusión de los Migrantes en las Escuelas</t>
  </si>
  <si>
    <t>Migrant education; Cultural identity; Inclusive education; Racial segregation; Urban sociology</t>
  </si>
  <si>
    <t>In this article, the focus is on migration towards Chile, especially the children and adolescents entering the Chilean educational system and the use of socio-territorial research as a way of analyzing the construction of identities, which are dynamic and thus influence the educational inclusion of them. One of the goals of the Chilean educational system is related to providing a quality educational environment, where all students can equitably reach their academic potential. In this context, one of the recurring topics in the debate on immigration and school is the tension between the consolidation of prejudices and stereotypes or the capacity of the school to modify them. This paper highlights the importance of socio -territorial studies to understand immigration, and how these progressively influence spatial groups (school community and migrants) and representations / prejudices associated to them.</t>
  </si>
  <si>
    <t>Salazar G.; Fonck M.; Vergara L.</t>
  </si>
  <si>
    <t>Intermediate cities: Dynamics of intermediation from the notion of place. The case of the Araucanía region, Chile; [Ciudades intermedias: Dinámicas de intermediación desde la noción de lugar. El caso de la región de la Araucanía, Chile]</t>
  </si>
  <si>
    <t>Intermediate cities; Intermediation; Place; Urban sustainability</t>
  </si>
  <si>
    <t>The following article contributes to the discussion of intermediate cities and their dynamics of intermediation. Although it is recognized the theoretical advancement generated in this field of research in the recent years, the article questions its tendency to homogenize the understanding of these types of cities. The article suggests that it is necessary to comprehend the intermediate cities from their constitutive social practices. From this perspective, the notion of place is introduced as a vital aspect to understand the process of intermediation and the particularity of each urban system. From some key constitutive aspects of the notion of place suggested by Massey (2012) the article empirically examines social practices and tensions that are part of the dynamics of intermediation in three case studies. It is argued that this conceptual approach contributes to the development of a more appropriate and relational understanding of intermediate cities and their respective dynamics of intermediation. The area of study is in the La Araucanía Region, specifically in the intermediate and intercultural cities of Villarrica, Angol and Victoria. © 2018, Revista de Geografia Norte Grande. All rights reserved.</t>
  </si>
  <si>
    <t>10.4067/S0718-34022018000200109</t>
  </si>
  <si>
    <t>Salazar G.; Maulén W.R.; Becerra P.Z.</t>
  </si>
  <si>
    <t>Peasant or urban indigenous? Approaches based on mapuche mobility processes in the intermediate city of temuco (Chile); [Indígena camponês ou indígena urbano? Aproximações a partir dos processos de mobilidade mapuche na cidade intermediária de temuco (Chile)]; [¿indígena campesino o indígena urbano? Aproximaciones desde los procesos de movilidad mapuche en la ciudad intermedia de temuco (Chile)]</t>
  </si>
  <si>
    <t>Chile; Indigenous urbanism; Intermediate city; Mapuche; Mobility</t>
  </si>
  <si>
    <t>The article aims to examine relevant aspects of “being an indigenous peasant in the city” through mobility processes. It attends practices and meanings of Mapuche mobility that connect the city of Temuco and its surrounding towns of Maquehue and Labranza (La Araucanía Region, Chile), both with a substantial number of indigenous communities. We identify that the dichotomy between being an indigenous peasant and an indigenous city dweller requires a theoretical turn that contextualizes the spaces in which the indigenous population lives and moves. The present work examines the processes of Mapuche mobility by integrating ethnographic instruments (ethnographic observation and in-depth interviews) and mobile methods. We record the passenger flows on public transport in the urban-territorial system in Temuco and apply the shading technique to the Mapuche during their daily movements. This combined methodology, defined as an ethnography on the move, is sustained by an interdisciplinary articulation between anthropology and geography that illustrates the processes of peasant Mapuche mobility in connection with the city. Three approaches arise to support the results: spatialities, temporalities, and identities. Mobility processes make it possible to understand the meaning of being an indigenous peasant in the city, thereby transcending the urban-rural dichotomy that has prevailed in indigenous studies. The article focuses on the socio-spatial dynamics of the indigenous peasant through mobility processes via an innovative methodology that articulates ethnographic and socio-spatial data that can transcend the prevailing static and dualistic lens through which indigenous populations have been studied. © 2020, Universidad de los Andes, Bogota Colombia. All rights reserved.</t>
  </si>
  <si>
    <t>10.7440/antipoda40.2020.03</t>
  </si>
  <si>
    <t>Salazar G.; Riquelme Maulén W.</t>
  </si>
  <si>
    <t>THE SPACE-TIME COMPRESSION OF INDIGENOUS TOPONYMY: THE CASE OF MAPUCHE TOPONYMY IN CHILEAN NORPATAGONIA</t>
  </si>
  <si>
    <t>Geographical Review</t>
  </si>
  <si>
    <t>indigenous toponymy; Mapuche; Norpatagonia; space-time compression</t>
  </si>
  <si>
    <t>The classic approach to research on toponymy is limited to a linguistic focus. This reductionism has had a negative impact on the study of the toponymy of intercultural and indigenous territories, as in the case of the northern Patagonia. Based on a two-year ethnographic study in northern Patagonia, this article analyzes the socio-spatial dimension of Mapuche toponymy, through a mixed methodology involving both data collection and analysis, and an ethnographic approach. The article analyzes how these toponyms emerge from a variety of socio-spatial practices and meanings that are not only intertwined, but also involve several social, environmental, and political dimensions. We argue that the study of indigenous toponymy as a space-time compression entails an ontological opening of toponymy based on the process of inhabiting place. In this regard, the paper discusses the importance of understanding indigenous toponymy as a historically situated process. © Copyright © 2020 by the American Geographical Society of New York.</t>
  </si>
  <si>
    <t>10.1080/00167428.2020.1839898</t>
  </si>
  <si>
    <t>Salazar N.B.</t>
  </si>
  <si>
    <t>Imagining mobility at the "end of the world"</t>
  </si>
  <si>
    <t>History and Anthropology</t>
  </si>
  <si>
    <t>Chile; Culture; Imaginary; Mobility; Utopia</t>
  </si>
  <si>
    <t>Chile's geographical remoteness has largely defined the imaginaries people share about this Latin American country. Despite its historical image as finis terrae ("the end of the world"), migrants from all corners found their way to these isolated peripheral lands. Thanks to new means of transport and communication, Chile nowadays is as exposed to the global circulation of people, objects and ideas as the rest of the world. Based on a combination of archival research and ethnographic fieldwork, this article traces how old (and originally foreign) imaginaries about Chile as an inaccessible island keep on influencing how contemporary Chileans participate in and frame their perceived exclusion from a plethora of new transnational mobilities, regardless of whether they have the means and freedom to cross imaginary boundaries and real borders or not. Although increasingly under outside pressure, the value of immobility remains at the core of the Chilean social imaginary, geo-politics and cultural life. © 2013 Copyright Taylor and Francis Group, LLC.</t>
  </si>
  <si>
    <t>10.1080/02757206.2013.761211</t>
  </si>
  <si>
    <t>Saldivar Arellano, Juan Manuel</t>
  </si>
  <si>
    <t>ETHNOGRAPHY OF NOSTALGIA: TRANSNATIONAL MIGRATION OF CHILOTE COMMUNITIES IN PUNTA ARENAS (CHILE) AND RIO GALLEGOS (ARGENTINA)</t>
  </si>
  <si>
    <t>Lived migration; transnationalization; nostalgia; music; Chiloe-Rio Gallegos</t>
  </si>
  <si>
    <t>The article centers around ethnographic findings of nostalgia from the lived migration between Chilote transnational communities assembled in Punta Arenas (Chile) and Rio Gallegos, Argentina. It describes the incorporation of cultural elements linked to the formation of communities, goods circulation, and meanings extension between places of origin and destination. It emphasizes the representation of popular music in Chiloe as a category of analysis and interpretation to understand migratory experiences and multi-centered assemblages. This allows the reflection of methodologies in movement (multilocal ethnography) and localization of multigeographic interacted contexts.</t>
  </si>
  <si>
    <t>10.4067/S0717-73562018005001201</t>
  </si>
  <si>
    <t>Saldívar Arellano, Juan Manuel</t>
  </si>
  <si>
    <t>«Chilote tenía que ser»: Vida migrante transnacional en territorios patagónicos de Chile y Argentina</t>
  </si>
  <si>
    <t>Transnational migration; South Patagonia macro-zone; multisite ethnography; Chiloé</t>
  </si>
  <si>
    <t>Abstract This article presents new ethnographical information on milestones in the history of the transnational migration of Chilotes (inhabitants of Chiloe Island, southern Chile), from the 1950s up to the assemblages existing today in different parts of Chilean and Argentinean Patagonia. In particular, we analyse stages in the development of mobility linked to the economic boom in these southern territories, highlighting sectors in which jobs were created on both sides of the border. The preliminary results show how cultural connections are retained with places of origin and residence through the formation of communities, the circulation of goods, the extension of symbolic meanings and new inter-regional migratory trajectories. The methodology used was that of ethnographies in movement derived from circumstantial approaches in different locations in Chiloe and Patagonia between December 2015 and May 2017. The reflections in this work are a contribution to studies on human mobility in southern Chile from multi-local perspectives that allow cultural continuities to be identified in the experience of migration.</t>
  </si>
  <si>
    <t>10.7770/cuhso-v27n2-art1221</t>
  </si>
  <si>
    <t>Viviendo la religión desde la migración, transnacionalización de la santería cubana en lima, Perú; la paz, Bolivia y Santiago, Chile (1980-2013)</t>
  </si>
  <si>
    <t>Revista Reflexiones</t>
  </si>
  <si>
    <t>Anthropology; Transnational religion; International migration; Cuban Santeria; Peru/ Bolivia/Chile</t>
  </si>
  <si>
    <t>Abstract:The afroamerican religions are currently experiencing various forms of being and belonging it is because the contexts of anchor are spread from the establishment of migrant communities as well as their cultural and legitimation/institutionalization among local. Santeria in their process religious transnationalization is manifesting like a non-placed mystic wave with proposes some particular features from their practices mainly among mentors/participants godparents/godchildren who are increasingly involved, this allow them extend their religious networks. With regard to the South American contexts, santeria stands as a religious phenomenon that has been linked closely with historical, cultural and political process from places such Lima, Peru, La Paz, Bolivia and Santiago, Chile since the arrival of Cuban immigrants and the rise of their cultural traditions.</t>
  </si>
  <si>
    <t>Saldívar J.M.; Reyes R.E.M.; Obando N.A.C.</t>
  </si>
  <si>
    <t>“Fangs of blood”: oniric ethnographies of dreaming experiences in young Latin American residents of the Los Lagos region, Chile (2020-2023); [“Colmillos de sangre”: etnografías oníricas sobre las experiencias de ensoñación en jóvenes latinoamericanos residentes en la región de Los Lagos, Chile (2020-2023)]</t>
  </si>
  <si>
    <t>Revista del Museo de Antropologia</t>
  </si>
  <si>
    <t>Chile; Culture and human displacement; Experiences of dreaming; Latin American migrations; Symbolic meanings of dreams</t>
  </si>
  <si>
    <t>The article presents pheniomenological reflections from some narrative-ethnographic findings on the experiences of dreaming among Latin Americans between the years 20202030 living in urban areas of the Los Lagos region, cities located in northern Patagonia of Chile, in order to understand the cultural dimensions of migrant life and its symbolic representations associated with the world of dreams. The proposed methodology is, at first, conceived from a mirror ethnography that dialogued with the interdisciplinary, especially in the development of participatory workshops, wich allowed the exploration of the object of study from the subjectivities as cultural practices that were narrated through of dense description. The results show how dream practices and dream experiences where subjects interpret their lived experiences were associated with the projection of migratory meanings around their stays, desires and demands in Chile. The contributions that this work makes to migration studies are, precisely, a new type of knowledge about the ways in which subjects relate and interact in anchor spaces where they project part of their experiences based on coping with new places of residence, representations that can be understood as meanings of nostalgia, nervous states and fears associated with the unknown. © (2023), (Universidad Nacional de Cordoba). All Rights Reserved.</t>
  </si>
  <si>
    <t>10.31048/1852.4826.v16.n2.40833</t>
  </si>
  <si>
    <t>Saldivar, Juan M.</t>
  </si>
  <si>
    <t>Historical Ethnography of the croatian and chilotes migration in the gold rush of Porvenir, Tierra del Fuego, Chile 1930-1990</t>
  </si>
  <si>
    <t>gold extraction; migrations; historical ethnography; Porvenir-Chile</t>
  </si>
  <si>
    <t>The article shows ethnographic findings about gold fever and the incorporation of Croatian pirquineros and chilotes in the vicinity of the Baquedano de Porvenir cordillera, Chilean Heart of Fire. They were two stages of gold abundance developed between the decades of 1983-1905 and 1930-1990. The first began with the discovery of the mineral through expeditions that ran aground on austral beaches, then the territories were exploited by Julio Popper, who formed the Anonim Company of Lavaderos of Gold of Sud, tracing the gold route from Cabo Virgenes to Punta Arenas, Navarino Island, Bahia Aguirre, Sloggett, Nueva and Lennox, being the Paramo in San Sebastian, its main operation center. The second was related to local miners (Croats and Chilotes) who continued with the exploitation in an artesanal way in the deposits of the Fuegian mountain range. The gold rush contributed to the foundation of Porvenir, highlighting investments in general lines, hotels and leisure as part of the peripheral economies, in addition to the growing wool industry that continued as a durable economy.</t>
  </si>
  <si>
    <t>10.22199/issn.0718-1043-2020-0054</t>
  </si>
  <si>
    <t>Saldívar, Juan M.; Márquez, Rodrigo E.; Pradines, Vladimir A.; Alvares, Sylvia S.; Cárdenas, Jonatán O.</t>
  </si>
  <si>
    <t>Vidas, balas y brujos: Imaginarios de lo grotesco en tres escenarios de la migración latinoamericana en la región de Los Lagos, Chile 2020-2022</t>
  </si>
  <si>
    <t>Latin American migration; Quality of life; Social exclusion; Ethnography of the grotesque; Los Lagos region</t>
  </si>
  <si>
    <t>Abstract: The article shows ethnographic findings on the settlements of Latin American communities in urban, rural and coastal areas of the Los Lagos region age 2020- 2022, in order to understand three migratory scenarios of the grotesque associated witch cohabitation in camps, trafficking of illicit substances and popularization of Afro-American religious. The results focus on understanding how the migratory experiences of Latin Americans are associated with radicalized, human violence, marginality and social exclusion that emerge as part of an imaginary construction about abroad in Chile.</t>
  </si>
  <si>
    <t>10.51188/rrts.num28.665</t>
  </si>
  <si>
    <t>Salim Z.</t>
  </si>
  <si>
    <t>Placing social networks: A case study of female gated community residents in Bahrain</t>
  </si>
  <si>
    <t>Gated communities; Gender; Highly skilled; Middle East; Migration; Residential segregation</t>
  </si>
  <si>
    <t>In the past half-century, the oil-producing states of the Arab Gulf have undergone rapid and radical socioeconomic transformations, with particularly prominent transformations evident in the areas of urbanization and migration. While gated housing developments for foreign white-collar professionals have become prevalent in the cities of the Gulf, little attention has been paid to the social dimensions associated with these developments. This article examines the local social networks of female residents of gated communities in Bahrain. Drawing on data from surveys and in-depth interviews, the article identifies factors in the built and social environments that support or limit the formation of local social networks by the residents of gated communities. Based on these factors, the article offers a generalizable conceptual framework for understanding the mechanisms that shape the social networks of gated community residents. The article concludes that a focus on the perspectives of female gated community residents in Bahrain enhances understandings of urbanization and migration in the Gulf city. © 2022 The Author</t>
  </si>
  <si>
    <t>10.1016/j.habitatint.2022.102557</t>
  </si>
  <si>
    <t>Gated communities in Bahrain: historical and urban geographies</t>
  </si>
  <si>
    <t>Human Geographies</t>
  </si>
  <si>
    <t>Gated communities; Gulf cities; Housing; Middle East; Migration; Residential segregation; Socio-spatial polarisation; Urban fragmentation</t>
  </si>
  <si>
    <t>Residential gating is a notable element in cities worldwide, but notable gaps exist in studies of residential gating in smaller cities and the Global South. This article examines the historical and urban geographies of residential gating in the Arab Gulf, using a case study from Bahrain. This research adds new nuance to studies of gated communities by presenting a case study from a smaller city in the Global South and integrating observations and interviews. The results explain the reasons for gated community development in Bahrain and provide insight into gated communities’ built and social environments in Bahrain. The article concludes that in ordinary cities, understanding urban development in general, and gated developments in particular, demands attention to their spatiotemporal contexts. Attention to these contexts can provide new insights that contribute to efforts to interpret and theorise contemporary urbanisation processes. © 2021 Human Geographies;.</t>
  </si>
  <si>
    <t>10.5719/hgeo.2021.152.2</t>
  </si>
  <si>
    <t>Salinas, Sius-geng; Liberona, Nanette</t>
  </si>
  <si>
    <t>Gender violence in migrant trafficking, psychosocial effects, and agency of clandestine migrant women</t>
  </si>
  <si>
    <t>Smuggling of migrants; Gender violence; Female migration; Psychosocial effects; Agency</t>
  </si>
  <si>
    <t>States are defining migration policies from a national security perspective, in which the rigidity of border controls and restrictions on the visa system prevail. As a consequence, this type of policy brings with it an increase in clandestine income or border crossings through unauthorized crossings, encouraging the smuggling of migrants. The objective of this article is to understand the experience of clandestine migrant women who were trafficked, highlighting the agency capacity that they had throughout the journey, trafficking and life in the country of destination. It is interesting to understand the impact of migrant smuggling as acute gender violence, since it is a link in a chain of different forms of violence experienced by women who emigrate clandestinely. The methodology used in this research was qualitative and with a gender focus through the collaborative ethnographic monitoring of 6 clandestine migrant women residing in Iquique and Alto Hospicio, Tarapaca region, Chile, during the period from March to August 2018. The main results in this article highlight the presence of gender-based violence throughout the migratory journey and on some previous occasions and from the beginning of the journey. They highlight the various forms of violence to which the women participating in this research were exposed and the psychosocial effects that this entails, as well as the agency that was presented. It is concluded that the irregular migratory condition encourages a series of violence, since the expression of gender violence is an inherent part of migrant smuggling and life and insertion in the host country, as it goes hand in hand with unconscious patriarchal relations rooted in the subjectivity of society.</t>
  </si>
  <si>
    <t>Sampedro Palacios C.B.; de la Fuente Robles Y.M.; Hernández Galán J.; Fuentes Gutiérrez V.</t>
  </si>
  <si>
    <t>Health accessibility Quality of life and physical, psychological and social health in the migrant population</t>
  </si>
  <si>
    <t>Journal of Accessibility and Design for All</t>
  </si>
  <si>
    <t>Accessibility; Disability; Health; Migration; Quality of Life</t>
  </si>
  <si>
    <t>Health and migration are vital parts of the development cycle. Health should be understood not only as a state of physical and psychological well-being, but also of social well-being. Social determinants play a major role in health and, therefore, also in physical and cognitive accessibility. The aim of this study is to link both realities (migration and health), in order to study the variables of quality of life and physical, psychological and social health in the migrant population. There are three main objectives: 1) To understand the perceptions of quality of life and physical, psychological and social health of the migrant population; 2) To identify and describe pathologies and disabilities among migrants; and 3) To determine if there is accessibility to the health system (treatments and control). A quantitative methodology comprising descriptive and correlational analysis was employed. The main tool was a descriptive questionnaire, supported by three scales (The Quality of Life and Health Scale [WHOQOL-BREF]; Depression, Anxiety and Stress Scale [DASS-21]; and Multidimensional Scale of Perceived Social Support [EMAS]) previously validated and proposed by international organizations, such as the World Health Organization. The main results were that levels of quality of life, psychological health and social support are moderate in the migrant population. In addition, 47.3% of the migrant population has a health pathology, with only 29% having access to health resources. The main conclusion is that the presence of pathologies and the lack of disease control among the migrant population is a sign of the need to review the actions implemented by government institutions, such as the Common European Asylum System. In addition, there is a need to make health resources accessible to the entire population regardless of social class. © Journal of Accessibility and Design for All (JACCES),.</t>
  </si>
  <si>
    <t>10.17411/jacces.v14i1.465</t>
  </si>
  <si>
    <t>Sanabria M.T.P.; González L.C.P.</t>
  </si>
  <si>
    <t>Migration and Post-Agreement: Challenges for the Colombian State; [Migración y posacuerdo: desafíos del Estado colombiano]</t>
  </si>
  <si>
    <t>Colombia; implementation; migration; peace agreements; Venezuela</t>
  </si>
  <si>
    <t>This article analyzes the relationship between two of the most complex realities Colombia is currently facing: The implementation of the 2016 Final Agreement to end the armed conflict and migratory waves from Venezuela and other countries in the region. Through qualitative research, based on the analysis of documentary sources in contrast to semi-structured interviews, it is concluded that the presence of the immigrant population in the studied territory does not increase criminality in the area. On the contrary, it is evidenced that migrants are highly vulnerable subjects. The analysis of these realities allows for establishing synergies that guide public policy from a human rights approach. © 2023, El Colegio de la Frontera Norte. All rights reserved.</t>
  </si>
  <si>
    <t>10.33679/rmi.v1i1.2580</t>
  </si>
  <si>
    <t>Sanabria M.T.P.; Toro B.L.; Díaz N.H.</t>
  </si>
  <si>
    <t>Migratory experiences: Good local practices in South American cities; [Experiencias frente a la migración: Buenas prácticas locales en ciudades sudamericanas]</t>
  </si>
  <si>
    <t>Good practices; Human rights; Local experiences; Migration; South America</t>
  </si>
  <si>
    <t>This article is the result of the research from two projects led by the University of Rosario, Colombia, and presents contributions to the guarantee of the human rights of the migrant population. In the first place, it develops an approach to the characteristics, actors and results of the concept of good practices in migration matters in Argentina, Colombia, Ecuador and Peru in the 2014-2018 period; and unfolds the preliminary elements for the construction of a good practices typology with a human rights approach through the illustration of local experiences in the Southern Cone for capital, border and intermediate cities of the selected countries. The methodology used was inductive-deductive, promoting a permanent dialogue between theory and practice. The central contributions of this research focus on the identification of certain trends in capital cities, where there is an oscillation between contingency and sustainable actions, which affects the integration of the migrant population to the host society. In border cities, the greatest risks and the widest possibilities of support from state and international entities and social organizations are evidenced; while, in intermediate cities, the greatest opportunities are envisaged through the incorporation of local approaches that include guarantee of rights. © 2021 Pontificia Universidad Catolica del Peru. All rights reserved.</t>
  </si>
  <si>
    <t>10.18800/DERECHOPUCP.202101.010</t>
  </si>
  <si>
    <t>Sánchez G.S.; Castillo-Retamal M.; Rojas V.S.</t>
  </si>
  <si>
    <t>Challenges of interculturality in pre-service physical education teachers training; [Desafíos de la interculturalidad en la formación de profesores de Educación Física]</t>
  </si>
  <si>
    <t>faculty; interculturality; migration; physical education; pre-service teacher training</t>
  </si>
  <si>
    <t>Migration is a permanent phenomenon in the human species, which in recent years, has intensified as a result of demographic, economic and political changes, triggering social challenges in different areas, one of them being education. In a society, where people with different cultural references converge, the reflection turns to how teachers are prepared to attend and coexist in the classroom with this cultural diversity. To examine the understanding that faculty members, who prepare future Physical Education teachers, have about interculturality, a descriptive/interpretative study was designed to inquire about how they understand interculturality and its determinants when training future teachers. A semi-structured interview was conducted to eight faculty members from a university in the south-central part of Chile, which has been training Physical Education teachers for more than 50 years. It is possible to identify that the initial teacher training process must consider individual and relational intercultural competences, where the other is recognized in an interaction between cultures. This requires paradigmatic renewal, recognition and appreciation of diversity under certain conditions of implementation. The installation of these processes requires a cultural adaptation, extending beyond folkloric and culinary manifestations. Determinants are recognized along social, normative, formative and paradigmatic lines. In conclusion, the Physical Education faculty recognizes the potential of interculturality and the need to incorporate it into training. However, they are not prepared for its implementation. © Copyright: Federación Española de Asociaciones de Docentes de Educación Física (FEADEF).</t>
  </si>
  <si>
    <t>10.47197/retos.v50.100367</t>
  </si>
  <si>
    <t>Sánchez-Bayón A.; Valero-Matas J.A.</t>
  </si>
  <si>
    <t>Religious and migratory persecution in post-globalization: American case study and the deconstruction of its foundational pillars; [Persecución religiosa y migratoria en la posglobalización: Estudio de caso estadounidense y la deconstrucción de sus pilares fundacionales]</t>
  </si>
  <si>
    <t>Hispanics; Migration; Religious persecution; Sanctuary; The United States of America (USA)</t>
  </si>
  <si>
    <t>The United States of America was founded as a modern Western country, that was based on a punch of principles, like liberty and the pursuit of happiness of human beings, with unalienable rights from birth, such religious freedom and liberty of movement, as well as the plurality of people inside as part of the American way of life. However, beyond the crisis of globalization, and the revival of identity debate, instead of rethinking the American idiosyncrasy according to the founding principles, its postmodern deconstruction has been fostered (denying its status as a modern and Western nation), which result is a paradoxical situation of Techno-Eve, such as religious and migratory persecutions, as it is clarified in this paper. © 2020 Instituto Geografico Vasco Andres de Urdaneta. All rights reserved.</t>
  </si>
  <si>
    <t>Sandoval Gallardo, María Ignacia</t>
  </si>
  <si>
    <t>Sentido y alcance del contenido esencial del derecho a migrar en Chile</t>
  </si>
  <si>
    <t>Estudios constitucionales</t>
  </si>
  <si>
    <t>Essential Content; Right to Migrate; Migrants Human Rights</t>
  </si>
  <si>
    <t>Abstract The increase in the migration flow has been a fact in our country during the last five years. Because of that the State of Chile has been forced to give an answer to this situation despite of the complexity of this phenomenon within the current institutional law framework. In this context is interesting to determine the significance of the right to migrate in our country and if this conception is in line with the international human rights. This article has as objective propose which elements should be considered within the essential content of the right to migrate in Chile. To determine these different aspects (doctrinal and jurisprudential issues) were analyzed according to the essential content as a normative guarantee of fundamental rights. Also, within this analysis it was considered the national and international migration law. To build this proposal the Inter-American standards of migrant’s rights were used as a criteria to ensure the accomplishment of this fundamental human right.</t>
  </si>
  <si>
    <t>Sandoval R.P.</t>
  </si>
  <si>
    <t>Habitus and transnational fields in the process of migrant transnationalism; [El habitus y los campos transnacionales en el proceso del transnacionalismo migrante]</t>
  </si>
  <si>
    <t>Discontinuous processes; Habitus; Migration; Transnational fields; Transnationality</t>
  </si>
  <si>
    <t>In his studies on transnationalism, Alejandro Portes argues that once the migration, emerging social networks between migrants and their places of origin, whichover time allow the movement was sustained by itself. In addition it emphasizesthat this momentum can support the continued migration even when the originaleconomic incentives have been reduced or disappeared altogether. Furthermore,the school of sociological thought of Pierre Bourdieu argues that social processesand socioespacios created by the individual paths are not uniform, which representa relationship of homology between the habitus that share the same position in orrepresent diff erent social fields. Our analysis adheres to the second school mentioned,since it has not been widely disseminated among scholars of transnationalmigration.</t>
  </si>
  <si>
    <t>Sandoval-García C.</t>
  </si>
  <si>
    <t>Experiences and Expectations of Young Residents of Impoverished Neighbourhoods in Central America</t>
  </si>
  <si>
    <t>International Journal of Community and Social Development</t>
  </si>
  <si>
    <t>Central America; inequalities; migration; political culture; youth</t>
  </si>
  <si>
    <t>This article analyses experiences and expectations of young residents of impoverished neighbourhoods in Central American capital cities. Four main subject areas are explored: the representation of the local and national environment, demands and desires for the future, the means by which young people expect to achieve (or not achieve) said demands, and sociodemographic factors. The selected neighbourhoods were El Limón in Guatemala City, Popotlán in San Salvador, Nueva Capital in Tegucigalpa, Jorge Dimitrov in Managua and La Carpio in San José. A sample of 300 respondents were selected using sampling quotas. One of the primary findings of the study is that 37.7% of participants neither study nor work, and that only 15% have access to social security. Although inequality was not identified as being among the most pressing problems, when asked about the distribution of wealth in their respective countries, 73.6% of participants considered said distribution to be ‘very unfair’ or ‘unfair’. This recognition of inequality coexists with a deeply rooted conservatism and a largely unquestioned belief in the legitimacy of destiny and parental authority. Against this historical background, electoral democracy is far from offering any kind of significant or profound response and has deepened the institutional void, and in many cases, migration has become more of a push than a choice. © 2022 SAGE Publications.</t>
  </si>
  <si>
    <t>10.1177/25166026221110412</t>
  </si>
  <si>
    <t>Sanhueza Diaz, Lilian; Chavez Herting, Marisol; Douzet Carafi, Maria Teresa; Smythe Bendel, Milton</t>
  </si>
  <si>
    <t>Araucana - Comahue: a transnational space of migration in Chile and Argentina</t>
  </si>
  <si>
    <t>Historical transborder migration; transnational space; migration policy</t>
  </si>
  <si>
    <t>This article explains the characteristics of transborder migration in the Araucania-Comahue territory, located at the southern border of Chile and Argentina. Nowadays this territory is known as corridor, a name given in the framework of development policies promoted by nation-states to marginal spaces that had a late annexation to the national territory. But it should be noted that, already in the seventeenth century, this space communicated and linked the inhabitants of the Wallmapu on each side of the Andes Mountains. So, the objective is to describe the indigenous human mobility documented by historiography and the transnational dynamics and practices that are rescued from the experiences reported by Chileans and Argentines who migrated in this area since the mid-twentieth century and who have used the same routes of the native people. The information collected shows that this transborder migration is a historical and current phenomenon that imposes challenges to the State today. That's why the notion of the Araucania-Comahue human corridor is proposed, which criticizes and complements the current idea of corridor. Although the latter recognizes the historical exchange, it focuses on economic development and exchanges of goods, without taking into account the characteristics of human mobility, the historical reasons of its circulation, the current motivations and, therefore, the necessary conditions to favor the quality of life of those who travel through the mountain range.</t>
  </si>
  <si>
    <t>10.7770/0719-2789.2019.CUHSO.02.A04</t>
  </si>
  <si>
    <t>Sanhueza Enriquez, Susan; Friz Carrillo, Miguel; Quintriqueo Millan, Segundo</t>
  </si>
  <si>
    <t>TRIANGULATION AS PROPOSED RESEARCH METHOD FOR THE STUDY OF INTERCULTURAL COMMUNICATIVE COMPETENCE IN THE CONTEXT OF SCHOOL MIGRATION AND INTERCULTURALITY</t>
  </si>
  <si>
    <t>Triangulation of research methods; Intercultural Communicative Competence; immigration and multiculturalism</t>
  </si>
  <si>
    <t>Communication is a process of negotiation between individuals belonging to different societies and cultures, which promotes awareness and recognition of what is different, an issue that has to be a common practice in the initial training of teachers who will work in the context of immigration and multiculturalism. From this assumption, we asked what methodological approach can provide relevant information about the intercultural communicative competence in student teachers who will eventually work in multicultural classrooms? We approach this question by reviewing specialized literature, defining as apath: a) the intercultural communicative competence; b) a framework for the triangulation of research methods; c) analysis of the advantages and limitations of the methods; d) proposed methods triangulation, e) justification of epistemological pluralism, based on the principle of social relevance of the scientific knowledge. We conclude that it is the nature of the objects of research that should guide the choice of methods and appropriate techniques to understand and explain the phenomenon of intercultural communicative competence in intercultural contexts of immigration and interculturality.</t>
  </si>
  <si>
    <t>Santiago C.M.</t>
  </si>
  <si>
    <t>Lifestyle Migration and the Nascent Agroecological Movement in the Andean Araucaniá, Chile: Is It Promoting Sustainable Local Development?</t>
  </si>
  <si>
    <t>Mountain Research and Development</t>
  </si>
  <si>
    <t>agroecological practices; Andean AraucanÄ±a; Chile; Lifestyle migration; local development</t>
  </si>
  <si>
    <t>Amenity and lifestyle migration is a global phenomenon that may be considered an agent of transformation of the local dynamics of rural areas. This new migratory trend has been observed in the last few years in the Andean Araucaniá in southern Chile, an area rich in natural and cultural attractions. Migrants to the region who are proponents of agroecology-considered in the broad sense of the term as practice, theory, and social movement-have sought to contribute to local economic, environmental, cultural, and social development. Taking a qualitative methodological approach, including in-depth interviews of migrants and key local informants, this study sought to identify the motivations for the development of agroecological practices and to analyze their impact on the sustainability of local development. © 2017 Marchant. This open access article is licensed under a Creative Commons Attribution 4.0 International License.</t>
  </si>
  <si>
    <t>10.1659/MRD-JOURNAL-D-17-00036.1</t>
  </si>
  <si>
    <t>Saravia A.; Machicado C.G.; Rioja F.</t>
  </si>
  <si>
    <t>Productivity, structural change and latin American development</t>
  </si>
  <si>
    <t>Review of Development Economics</t>
  </si>
  <si>
    <t>We calibrate a simple neoclassical growth model adapted to illustrate a process of structural transformation or industrialization to a group of nine South American countries. The paper shows that low levels of agricultural productivity can substantially delay the process of industrialization, which, together with low levels of non-agricultural productivity observed in recent decades, satisfactorily explains the significant differences in gross domestic product (GDP) per capita levels among the countries in our sample. The results suggest that Argentina underwent the process of industrialization first followed by Uruguay, Chile, Brazil, Colombia, Ecuador, Peru, Paraguay and Bolivia. The model predicts that the ranking of these countries in terms of GDP per capita would follow this order until convergence occurs. The empirical evidence confirms the prediction of the model with the exceptions of Uruguay and Chile which caught up with Argentina in terms of GDP per capita levels in the late 1980s. © 2014 John Wiley &amp; Sons Ltd.</t>
  </si>
  <si>
    <t>10.1111/rode.12106</t>
  </si>
  <si>
    <t>Sargent C.; Urrutia C.; Kotobi L.</t>
  </si>
  <si>
    <t>Reproduction and the immigrant experience</t>
  </si>
  <si>
    <t>A Companion to the Anthropology of Reproductive Medicine and Technology</t>
  </si>
  <si>
    <t>Chile; France; Immigration; Latin America; Reproductive contestation; Reproductive health; Transnational migration; United States</t>
  </si>
  <si>
    <t>In this chapter, the authors focus on immigration and reproductive health in the context of globalization. They draw on ethnographic studies that illustrate reproductive healthcare dynamics in diverse migrant populations. Reproductive contestation as an idea adds particular nuance to the idea of reproductive stratification, a widely used construct in research on global reproduction. Transnational migration serves as one important focus for the attention to the diverse dimensions of reproduction. Yet it is evident, in the examples from the United States and Latin America, and the case studies featuring France and Chile, that most migrants confront laws and policies profoundly affecting their reproductive lives. Health inequities and structural marginality place immigrants in situations of particular vulnerability with regard to reproductive health. These merit the continuing attention of anthropologists, activists fighting for reproductive rights, and global health institutions. © 2024 John Wiley &amp; Sons, Inc. Published 2024 by John Wiley &amp; Sons, Inc. All rights reserved.</t>
  </si>
  <si>
    <t>10.1002/9781119845379.ch9</t>
  </si>
  <si>
    <t>Sassone S.M.; González M.S.</t>
  </si>
  <si>
    <t>Global Mobility and Migration in the Cities of the Patagonian Andes: Emerging Diversity</t>
  </si>
  <si>
    <t>Geographies of Tourism and Global Change</t>
  </si>
  <si>
    <t>Diversity; Migration; Mobility</t>
  </si>
  <si>
    <t>Some Patagonian cities have a great attractiveness to national and, particularly, international migrants. The growing diversity of origins is a singular aspect related with their location in the Patagonian Andes, a privileged environment of snowy mountains, forests, rivers and lakes. This foreign population has contributed to the building of a heterogeneous demographic, social and cultural structure. The coexistence of diverse regimes of mobility have transformed the human landscape of these cities. It appears social fields of differential power, particularly, between international migrants, lifestyle migrants and labour migrants in a context of the global mobilities. © 2021, Springer Nature Switzerland AG.</t>
  </si>
  <si>
    <t>10.1007/978-3-030-77466-0_5</t>
  </si>
  <si>
    <t>Scarzanella, Eugenia</t>
  </si>
  <si>
    <t>Italy and emigration to Latin America: Bilateral agreements and participation in the ICEM (1946-1957)</t>
  </si>
  <si>
    <t>Italia; emigration; Latin America; ICEM</t>
  </si>
  <si>
    <t>In this article I analyze the Italian emigration to countries of Latin America in the second postwar period through the documentation of the Ministero del Lavoro e Previdenza Sociale (MLPS), kept in the Archivio Centrale dello Stato (ACS) in Rome. Assisted emigration was regulated through bilateral agreements with some Latin American governments and through Italy's participation in the ICEM (Intergovernmental Committee for European Migration). The ICEM dealt with the transportation of migrants and their selection and professional training. The MLPS was in charge of organizing the departure of the emigrants and maintained contacts with the ICEM and the countries of destination. I focus in particular on emigration to Argentina, Chile, Brazil, Venezuela and Uruguay. I try to show the aspects of continuity and / or novelty with respect to interwar emigration, both in terms of the experience of the emigrants and the attitude of the Italian, European and Latin American bureaucracy.</t>
  </si>
  <si>
    <t>10.4013/htu.2018.222.04</t>
  </si>
  <si>
    <t>Scheel S.; Álvarez Velasco S.; De Genova N.</t>
  </si>
  <si>
    <t>COVID capitalism: The contested logistics of migrant labour supply chains in the double crisis</t>
  </si>
  <si>
    <t>Politics</t>
  </si>
  <si>
    <t>borders; capitalism; COVID-19 pandemic; labour-power; migration</t>
  </si>
  <si>
    <t>The introduction to the special issue (SI) lays out the agenda and key concepts of the SI ‘COVID Capitalism: The Contested Logistics of Migrant Labour Supply Chains in the Double Crisis’. The contributions to the SI focus on the reconfiguration of the means and methods of the exploitation of migrant labour during the COVID-19 pandemic and the related reorganisation of contemporary border and migration regimes. They all focus, more or less explicitly, on the adaptation and reorganisation of migrant labour supply chains which were disrupted through the ‘double crisis’ of public health and existing border and mobility regimes during the COVID-19 pandemic. In this way, the SI seeks to contribute to a more nuanced understanding of COVID-capitalism, understood as a form of disaster capitalism, in which fractions of capital try to turn the multiple crises implicated by the pandemic into a source of profit. If and how they succeed with these endeavours is, however, not guaranteed from the outset but an empirical question. The study of migrant labour supply chains does thus not only help to develop a more nuanced understanding of disaster capitalism but also contributes to debates on the logistification of migration management. © The Author(s) 2024.</t>
  </si>
  <si>
    <t>10.1177/02633957241229377</t>
  </si>
  <si>
    <t>Schmook, Birgit; Radel, Claudia; Carte, Lindsey; Johnson, Richard L.</t>
  </si>
  <si>
    <t>In the Shadow of the Green Revolution: Constrained Spatial Imaginaries and Smallholder Farming in Guatemala's Pacific Lowlands</t>
  </si>
  <si>
    <t>PROFESSIONAL GEOGRAPHER</t>
  </si>
  <si>
    <t>agrarian neoliberalism; constrained imaginaries; industrial agriculture; Pacific lowlands Guatemala; smallholder</t>
  </si>
  <si>
    <t>Much smallholder farming currently exists side by side with large-scale, industrial agriculture, as an outcome of the Green Revolution unfolding in uneven and dualistic terms. In Guatemala's Pacific lowlands, state incentives fuel expansion of industrial export agriculture. Large-scale sugarcane production has come to surround rural farming communities, where small-scale farmers grow maize and sesame with little state support. Drawing on a survey of nearly 200 households, seventeen in-depth interviews, and four focus groups in five communities during 2014 and 2015 in the Department of Retalhuleu, our research explores the realities and imaginaries of smallholders as they negotiate their incorporation into the Green Revolution. In the face of minuscule agricultural plots resulting in limited production, cycles of agrarian debt, vulnerability to drought, and emigration to the United States, smallholders paradoxically work hard to replicate modern Green Revolution approaches in their own parcels. We argue that the proximal, uneven expansion of modern technocentric agriculture, fueled by the model of the Green Revolution, has helped cultivate constrained spatial imaginaries among smallholders, in which ideas and desires around improved agricultural practices remain bound to accessing hybrid seeds, chemical inputs, and technical extension, despite the way the Green Revolution has been implicated in their ongoing marginalization.</t>
  </si>
  <si>
    <t>10.1080/00330124.2021.2014907</t>
  </si>
  <si>
    <t>Schneider Marques, Teresa Cristina</t>
  </si>
  <si>
    <t>Exile and the Transformation of Repertoires of Collective Action: The Brazilian Left in Chile and France (1968-1978)</t>
  </si>
  <si>
    <t>DADOS-REVISTA DE CIENCIAS SOCIAIS</t>
  </si>
  <si>
    <t>exile; the left; repertoires; contentious politics; Brazil</t>
  </si>
  <si>
    <t>The following article analyzes the political trajectory of the second generation of Brazilians exiled by the military dictatorship to Chile and France, aiming to understand the dynamic characterizing the transformations of the repertoires of action among migrants frequently observed in studies on exile. It also investigates how forced migration promotes a complete metamorphosis of the structure of political opportunities, leaving the exile inserted in a structure that is distinct from that identified by studies on contentious politics in conflicts inside the Nation-State and from that characterizing the most recent global transnational movements. In fact, exiles in Chile revealed a repertoire adapted to the particularities of exile in Chile, focusing on the continuity of the clash with the Brazilian regime. In France, on the other hand, profound transformations occurred, through an abandoning of the revolutionary project and an adoption of human rights and democracy, among other assertions that were new at the time to the Brazilian left.</t>
  </si>
  <si>
    <t>10.1590/001152582017120</t>
  </si>
  <si>
    <t>Schrank A.</t>
  </si>
  <si>
    <t>Mobile Professionals and Metropolitan Models: The German Roots of Vocational Education in Latin America</t>
  </si>
  <si>
    <t>Archives Europeennes de Sociologie</t>
  </si>
  <si>
    <t>Germans; Latin America; Migration; Professionals; Vocational Education</t>
  </si>
  <si>
    <t>The Latin American model of vocational education has been widely portrayed as a homegrown success story, particularly by scholars and stakeholders who are aware of the region's skill deficits, wary of alien solutions, and suspicious of institutional transfers more generally. Is the Latin American model really homegrown? I use a combination of qualitative and quantitative data to trace the model's mores and methods not to the New World but to Central Europe and go on to identify three different transmission paths in the 20th century: imitation by Latin Americans of German origin, descent, and/or training in the run-up to World War II; propagation by West German attachés and advisors in an effort to rehabilitate their country's image in the wake of the war; and adaptation by local employers and policymakers-who received additional support from Germany-at the turn of the last century. The results suggest that institutional importation is less a discrete event or outcome to be avoided than an ongoing process that, first, entails translation, adaptation, and at times obfuscation by importers as well as exporters; and, second, is facilitated by immigrants, their descendants, and diplomats in transnational contact zones.  © 2020 Cambridge University Press. All rights reserved.</t>
  </si>
  <si>
    <t>10.1017/S0003975620000065</t>
  </si>
  <si>
    <t>Sedacca, Natalie</t>
  </si>
  <si>
    <t>Migrant domestic workers and the right to a private and family life</t>
  </si>
  <si>
    <t>NETHERLANDS QUARTERLY OF HUMAN RIGHTS</t>
  </si>
  <si>
    <t>domestic workers; labour; migration; private life; family life</t>
  </si>
  <si>
    <t>Domestic workers are mainly women, are disproportionately from ethnic minorities and/or international migrants, and are vulnerable to mistreatment, often receiving inadequate protection from labour legislation. This article addresses ways in which the conditions faced by migrant domestic workers can prevent their enjoyment of the right to private and family life. It argues that the focus on this right is illuminating as it allows for the incorporation of issues that are not usually within the remit of labour law into the discussion of working rights, such as access to family reunification, as well as providing for a different perspective on the question of limits on working time - a core labour right that is often denied to domestic workers. These issues are analysed by addressing a case study each from Latin America and Europe, namely Chile and the UK. The article considers impediments to realising the right to private and family life stemming both from the literal border - the operation of immigration controls and visa conditions - and from the figurative border which exists between domestic work and other types of work, reflected in the conflation of domestic workers with family members and stemming from the public/private sphere divide.</t>
  </si>
  <si>
    <t>10.1177/0924051919884754</t>
  </si>
  <si>
    <t>Segovia Lagos, Pablo; Rendón Zapata, Bibiana</t>
  </si>
  <si>
    <t>Estudiantes extranjeros/as en la representación de los docentes en una escuela de Santiago: elementos para una educación intercultural.</t>
  </si>
  <si>
    <t>Education; interculturality; perception; migrations; teacher</t>
  </si>
  <si>
    <t>Abstract: The article addresses the perception of teachers around migrant students in a public school in Santiago, Chile. It is a quantitative, descriptive correlation study with a sample of 16 teachers. Data collection was carried out through an ad hoc instrument with quantifiable variables defined a priori. The main results show that teachers perceive that problems in the educational context are explained by variables of discipline and coexistence and that these problems vary according to the place of origin of the students; likewise, they identify differences in the form of linkage between native and foreign students and that there is a significant relationship between problematic migrant students and difficulties in establishing cooperative relationships. On the other hand, they perceive low commitment of guardians of migrant students. It is concluded that the teacher's perception allows to identify the ways of constituting the social thought and the social construction of the migratory reality and that this is relevant to predict the barriers and, at the same time, the challenges to configure intercultural schools.</t>
  </si>
  <si>
    <t>56</t>
  </si>
  <si>
    <t>10.32735/s0718-6568/2020-n56-1528</t>
  </si>
  <si>
    <t>Semprebon, Michela; Marzorati, Roberta; Mary Garrapa, Anna</t>
  </si>
  <si>
    <t>Governing agricultural migrant workers as an emergency: converging approaches in Northern and Southern Italian rural towns</t>
  </si>
  <si>
    <t>Rosarno and Sermide are two small towns in Southern and Northern Italy, which are both part of a manual-labour circuit of agricultural work. The article presents an analysis of governance structures in these towns and, by bringing together the literature on migrants' agricultural labour and local policy-making, explores how public actors address migrant seasonal agricultural workers' needs to investigate outcomes of inclusion and exclusion. The article builds on qualitative research, conducted between 2012 and 2015, to propose a North-South intra-country comparison of local policy-making. The findings show the emergency nature of local administrations' approaches and the critical role of civil society. They highlight the extent to which responses diverge or converge in means and scale, while stressing their convergence in scope to limit migrants' visibility.</t>
  </si>
  <si>
    <t>10.1111/imig.12390</t>
  </si>
  <si>
    <t>Sepulveda, Bastien; Zuniga, Paulina</t>
  </si>
  <si>
    <t>Indigenous urban geography: A case study of the Mapuche in La Pintana, Santiago, Chile</t>
  </si>
  <si>
    <t>Mapuche; Santiago de Chile; urban space; territoriality; indigenous geography</t>
  </si>
  <si>
    <t>For many indigenous peoples, the city was historically constructed as a space of exclusion and domination that relegated them to the confines of the very idea of modernity. However, the current construction of collective spaces enables them to renegotiate their position within the urban fabric. This article aims at understanding the territorial reconfigurations that have arisen in this context, using data collected through a fieldwork (interviews, participatory observation and archival research) conducted between 2013 and 2014 with indigenous groups in La Pintana, located within the metropolitan area of Santiago. In addition to describing the processes of Mapuche migration in Chile and the modalities by which an urban territoriality is being formed, we also analyze the emergence of rukas over the last fifteen years in La Pintana. We conclude that urban areas clearly form a portion of the contemporary Mapuche territorial dynamics.</t>
  </si>
  <si>
    <t>Sepúlveda, Camila; Cabieses, Báltica</t>
  </si>
  <si>
    <t>Rol del Facilitador Intercultural para migrantes internacionales en centros de salud chilenos: perspectivas de cuatro grupos de actores clave</t>
  </si>
  <si>
    <t>Transients and Migrants; Public Health; Professional Role; Cultural Competency</t>
  </si>
  <si>
    <t>Objective. To research the perception of different key actors regarding the role of intercultural facilitators in health care for Haitian migrants in the communes of Quilicura and Santiago de Chile. Materials and Methods. Qualitative study of exploratory and descriptive type, with case study design, in family health centers and hospitals of two communes of the Metropolitan Region of Chile. The technique of semi-structured interviews with key actors (health authorities, health workers, intercultural facilitators, and international migrants) was used with verbatim transcription and thematic analysis of contents (n=18). Results. The perception of the role of intercultural facilitators for the health care of international migrants is related to activities like translation, interpretation, health system education in Chile, intercultural mediation, and administrative tasks. In addition, it collaborates in educational activities for migrants who require support in addressing cultural differences. This vision is shared by several key actors considered for the study and according to the current health policy. Conclusions. The intercultural facilitators make a contribution to the intercultural health encounter in Chile, and they are witnesses of how our institutions face different realities in linguistic and socio-cultural matters. Recognizing the importance of the intercultural facilitator in health care with intercultural relevance towards international migrant population is a social advance and one of the Chilean health system, which can be replicated in countries that face similar challenges and do not wish to ignore the growing social and cultural diversity in Latin America and the Caribbean, as a consequence of the dynamic transformations stemming from international migration processes.</t>
  </si>
  <si>
    <t>10.17843/rpmesp.2019.364.4683</t>
  </si>
  <si>
    <t>Sepulveda, Claudia; Villarroel, Pablo</t>
  </si>
  <si>
    <t>Swans, Conflicts, and Resonance Local Movements and the Reform of Chilean Environmental Institutions</t>
  </si>
  <si>
    <t>Environmental reform; Local movements; Resonance; Chile; Valdivia</t>
  </si>
  <si>
    <t>A major legal reform of Chilean environmental institutions was approved in November 2009, at the end of Michelle Bachelet's administration. In sharp contrast with the external pressures that provided the impetus for the establishment of the country's environmental institutions in the early 1990s, this time the driving forces came mainly from an internal demand, a broad social and political consensus about the need to improve the environmental framework. This consensus was a consequence of the institutional breakdown revealed by a local movement that emerged in Valdivia, southern Chile, in response to a major ecological disaster produced by the effluents of a pulp mill that polluted a protected wetland and caused the death and migration of an endangered population of black-necked swans. Although the Valdivian movement did not succeed in stopping the disaster and restoring the wetland, it triggered an unprecedented examination of the performance of environmental institutions, finally forcing the 2009 environmental reform. The resonance of the Valdivian movement can be understood in the context of dozens of environmental conflicts that had been accumulating for more than a decade, largely as an effect of the crisis of legitimacy of environmental institutions. Although this recently approved legislation represented an overall advance, it failed to address the issues that led to the institutional breakdown, in particular the need for democratization of decision making and the broadening of public participation. Paradoxically, thus, the reform perpetuated the crisis of legitimacy that underlay its origin, reinforcing the exclusionary mechanisms that largely explain socio-environmental unrest and ecological destruction in Chile.</t>
  </si>
  <si>
    <t>10.1177/0094582X12441519</t>
  </si>
  <si>
    <t>Sergio, Ivan; Cinelli, Noemi</t>
  </si>
  <si>
    <t>Ethnic Press, Migration and Image: The Case of the Newspaper L'Italia Illustrata, Voice of the Italian Community in Chile (1896-1898)</t>
  </si>
  <si>
    <t>VEGUETA-ANUARIO DE LA FACULTAD DE GEOGRAFIA E HISTORIA</t>
  </si>
  <si>
    <t>Ethnic Press in Chile; L'Italia Illustrata; Journalistic Images; Italia-Chilean Cultural Relations</t>
  </si>
  <si>
    <t>This article analyses the ethnic press of the twentieth century, regarded as a direct product of migration, in order to recreate links between immigrants and their native country. We focus in particular on the founding of the Italian newspaper L'Italia Illustrata, published in Chile from 1896 to 1898. We compare this newspaper's foundation with the other Italian gazette that had been active since 1891, highlighting the discrepancies between these media. After this, we present some images published in L'Italia Illustrata, grouping them into 3 sections, before finally setting forth our conclusions.</t>
  </si>
  <si>
    <t>10.51349/veg.2021.1.23</t>
  </si>
  <si>
    <t>Serratos-Sotelo L.</t>
  </si>
  <si>
    <t>Were there long-term economic effects of exposure to polio vaccination? An analysis of migrants to Sweden 1946–2003</t>
  </si>
  <si>
    <t>Early-life; Education; Income; Migration; Polio; Sweden; Vaccine</t>
  </si>
  <si>
    <t>Recent research showed that exposure to the vaccine against polio in early life had no long-term economic benefits among native Swedes. However, whether this result holds for individuals from other countries remains unexplored. This study explores the relationship between exposure to the vaccine and later-life outcomes, but focuses on individuals who migrated to Sweden (birth cohorts 1946–1971), and constitute a diverse sample in terms of national origin. Using a differences-in-differences approach and register data from the Swedish Longitudinal Immigrant Database, this study explores if being exposed to the vaccine against polio in the year of birth in the country of origin has any impact on adult income, educational achievement, or days or number of hospitalizations. The results are in line with the previous research in showing that there are no statistically significant effects on adult income, education, or health from exposure to the vaccine against polio, regardless of national origin. Furthermore, no scarring effects of exposure to polio epidemics were found on any of the outcomes, reinforcing the hypothesis that polio did not scar individuals in the same way as other contemporary epidemic diseases did, and that the lack of scarring could explain the absence of long-term impact from vaccine exposure. © 2020 The Author</t>
  </si>
  <si>
    <t>10.1016/j.ssmph.2020.100589</t>
  </si>
  <si>
    <t>Shahvisi A.</t>
  </si>
  <si>
    <t>Hermeneutical injustice and outsourced domestic work</t>
  </si>
  <si>
    <t>Women's Studies International Forum</t>
  </si>
  <si>
    <t>Affective labour; Domestic work; Hermeneutical injustice; Migration</t>
  </si>
  <si>
    <t>This paper argues that conceiving of paid domestic labour as ordinary work constitutes a form of hermeneutical injustice against domestic workers, whose work differs from other occupations in morally significant ways. Amongst other distinctive properties, outsourced domestic work inevitably rests on gendered and racialised asymmetries of wealth and social status, consists of affective labour which is not remunerable, and occurs in a necessarily private realm which cannot easily be regulated. The obfuscation of these features by discourses which cast domestic work as ordinary work obstructs attempts to form and respond to justice claims relating to domestic work, and prevents domestic workers from recognising the innate challenges of their work. The inadequacy of this discourse seems to counsel towards condemning the practice of outsourcing domestic work, rather than attempting to recuperate it. © 2018 Elsevier Ltd</t>
  </si>
  <si>
    <t>10.1016/j.wsif.2018.04.002</t>
  </si>
  <si>
    <t>Sheehan M.</t>
  </si>
  <si>
    <t>Migrant residents in search of residences; Locating structural violence at the interstices of bureaucracies</t>
  </si>
  <si>
    <t>Conflict and Society</t>
  </si>
  <si>
    <t>Bureaucracy; Chile; Documentation; Housing; Migration; Structural violence</t>
  </si>
  <si>
    <t>Latin American migration to Chile has increased exponentially over the past 20 years. As migrants settle in Santiago, they face numerous articulations of bureaucracy-at entry, in visa processing, in labor regulations, and in housing law. This article charts a central paradox of migrant experiences with two discordant bureaucratic entities in Chile. Migrants are frequently able to acquire residency documents, yet they are oft en unable to enter into formal rental agreements or easily access adequate housing. Drawing on data collected during 18 months of ethnographic fi eldwork in Santiago, Chile, I explore migrants' lived experience of bureaucracy. As migrants navigate the processes involved in attaining visas and in securing housing, their experiences expose the interstices of bureaucracy, sites of disjuncture between contrasting bureaucratic entities and realms. These bureaucratic interstices are critical sites where structural violence is fostered, normalized, and made invisible. © 2018 Berghahn Journals. All rights reserved.</t>
  </si>
  <si>
    <t>10.3167/ARCS.2018.040112</t>
  </si>
  <si>
    <t>Sheehan, Megan</t>
  </si>
  <si>
    <t>Labouring for inclusion: debating immigrant contributions to Chile</t>
  </si>
  <si>
    <t>Immigration; labour; race; discourse; the state; integration</t>
  </si>
  <si>
    <t>Over the last three decades, Chile has experienced transformative migratory flows, becoming more diverse in the process. As migrants from Latin American and Caribbean countries settle in Chile, they often face stereotypes laminating race, ethnicity, and nationality and shape paths toward inclusion through the job market. Amid the implementation of visa restrictions and the rollout of a new migration law, current debates over migration foreground ideas about which groups productively contribute to the nation's development - discourses often linked to labour. Government rhetoric and policy debates frame a broader discussion of the role of migration in Chile, with both Chileans and migrants alike employing discourses of hard work and discipline to dialectically define what it takes to be a contributing migrant. Drawing on ethnographic data, I illustrate how migrants make claims to inclusion through their labour, thus engaging with a coercive form of neoliberal governance proffering only conditional recognition.</t>
  </si>
  <si>
    <t>10.1080/01419870.2021.1986629</t>
  </si>
  <si>
    <t>Everyday verticality: Migrant experiences of high-rise living in Santiago, Chile</t>
  </si>
  <si>
    <t>high-rise residence; migration; public space; verticality</t>
  </si>
  <si>
    <t>Over the last three decades, Santiago, Chile has experienced rapid urbanisation. The city's expansion has prompted the proliferation of high-rise residential buildings, mediated by spatial segregation along class lines and fragmented urban governance. Concurrently, economic opportunities in Chile have drawn regional labour migrants, resulting in an unprecedented increase in migratory flows. Drawing on ethnographic research, this article charts the everyday experiences of migrants in high-rise residences. As new arrivals seek housing, social networks channel migrants - particularly Venezuelans - into shared high-rise apartments, producing specific buildings as vertical enclaves. Lived experiences within the confines of verticality are frequently shaped by the challenges of overcrowding. As migrants craft daily practices to mitigate these limitations, their routines make full use of limited space and meaningfully engage with building common areas, public spaces and neighbourhoods. The everyday practice of verticality articulates links between high-rises and surrounding sites, neighbourhoods and the broader urban fabric.</t>
  </si>
  <si>
    <t>10.1177/00420980221114206</t>
  </si>
  <si>
    <t>Shor E.; Roelfs D.</t>
  </si>
  <si>
    <t>Climate shock: Moving to colder climates and immigrant mortality</t>
  </si>
  <si>
    <t>Social Science and Medicine</t>
  </si>
  <si>
    <t>Climate; Cross-national; Immigration; Meta-analysis; Metaregression; Mortality</t>
  </si>
  <si>
    <t>Research shows that immigrants often have lower mortality rates than native-born residents in their countries of destination. However, it is unclear whether this mortality advantage holds for all immigrant groups. Specifically, considering the epidemiological research on the potential negative health effects of cold weather, we examine here whether relative mortality is moderated by differences in climate between origin and destination countries. We conducted a meta-regression analysis on 890 rate ratios from 55 publications, comparing all-cause and cardiovascular mortality of immigrants from 70 different countries and native populations in 12 destination countries. We found that immigrants who move between countries with a relatively similar climate experience a mortality advantage. However, those who move from a warmer to a colder climate do not. In fact, they have higher cardiovascular mortality rates when compared to the native population. © 2019 Elsevier Ltd</t>
  </si>
  <si>
    <t>10.1016/j.socscimed.2019.112397</t>
  </si>
  <si>
    <t>Shrestha M.</t>
  </si>
  <si>
    <t>Get Rich or Die Tryin': Perceived Earnings, Perceived Mortality Rates, and Migration Decisions of Potential Work Migrants from Nepal</t>
  </si>
  <si>
    <t>World Bank Economic Review</t>
  </si>
  <si>
    <t>expectations; migration; Nepal</t>
  </si>
  <si>
    <t>This article reports on a randomized field experiment in which potential work migrants from Nepal to Malaysia and the Persian Gulf countries are provided with information on wages and mortality incidences at their intended destinations. It is found that, particularly for the group of potential migrants without prior foreign migration experience, the information changes their expectations of earnings and mortality risks abroad, which further changes their actual migration decisions. Using the exogenous variation in expectations, it is estimated that the elasticity of migration with respect to mortality rate expectation is 0.8, and the elasticity of migration with respect to earnings expectation is 1.1. © 2019 The Author(s) 2019.</t>
  </si>
  <si>
    <t>10.1093/wber/lhz023</t>
  </si>
  <si>
    <t>Sibrian N.</t>
  </si>
  <si>
    <t>Embarazo; Emociones; Emotions; Maternal and child health; Migración; Migration; Pregnancy; Salud materno-infantil</t>
  </si>
  <si>
    <t>When migrating, there is a subjective dilemma that not only includes the strangeness of what has been left but also calls for the way in which the rules of the feeling of the society they are confronted face. Therefore, the integration process also involves an emotional dimension. From a case study, with a biographical focus and an ethnographic perspective, I analyze the emotional management that a pregnant and migrant woman develops in the face of public health policy. The objective is to be able to identify the role of emotions in the trajectory of a pregnant Venezuelan user of the Chile Crece Contigo program. The life story shows how particular events, which I identify as possible obstetric and institutional violence, are attenuated by strategies of regulation and emotional transfer, which sublimate rage, pain, and suffering in a process of general migrant integration. © 2021. All Rights Reserved.</t>
  </si>
  <si>
    <t>10.5565/rev/athenea.2836</t>
  </si>
  <si>
    <t>Sibrian N.; Alfaro A.; Núñez J.C.</t>
  </si>
  <si>
    <t>Validation of an instrument on exposure of migrant communities to hate speech in the Chilean media ecosystem: preliminary results; [Validación de instrumento sobre exposición de comunidades migrantes a discursos de odio en el ecosistema mediático chileno: resultados preliminares]</t>
  </si>
  <si>
    <t xml:space="preserve">Revista Latina de Comunicacion Social </t>
  </si>
  <si>
    <t>Chile; Delphi method; Hate speech; Instrument validation; Migration</t>
  </si>
  <si>
    <t>Introduction: Research reports an increase in the forms of cyber hate towards migrant groups in digital contexts. However, few tools have been developed to collect the experiences of those who face such aggression. Methodology: The objective is to validate an instrument designed to assess the extent of exposure to hate speech. Additionally, it aims to examine the consequential impact on the engagement and involvement of migrant communities within the media landscape of Chile. The Delphi method, incorporating expert judgment and cognitive interviews, is implemented in this study. A meticulously crafted questionnaire comprising 26 items is applied to a pilot sample of 453 migrants residing in Chile, 51% of whom are between 30 and 59 years old, 58% are female and 60% come from Venezuela. Results: A Cronbach's Alpha of 0.95 is reached and it is found that 62% of respondents have received hate messages through Instagram (56%) and Facebook (45%), linked to their nationality (33%) and under the framing of security (43%), experiencing discomfort (53%) and hopelessness (56%). Consequently, 41% "sometimes" deleted media accounts from their digital information diet and only 7% "frequently" participate in media environments. Discussion: It is warned that cyber hate towards migrant people could produce disinformation, by news avoidance, and affect the media participation of these communities. Conclusions: A validated questionnaire was acquired to gather insights into the exposure of migrants when confronted with hate speech and its possible effects. © 2024, HISIN (History of Information Systems). All rights reserved.</t>
  </si>
  <si>
    <t>10.4185/rlcs-2024-2226</t>
  </si>
  <si>
    <t>Sibrian, Nairbis</t>
  </si>
  <si>
    <t>EMOTIONAL ADJUSTMENTS OF A PREGNANT WOMAN AND IMMIGRANT IN CHILE: STRATEGIES TO REDUCE SUFFERING</t>
  </si>
  <si>
    <t>Emotions; Pregnancy; Maternal and child health; Migration</t>
  </si>
  <si>
    <t>When migrating, there is a subjective dilemma that not only includes the strangeness of what has been left but also calls for the way in which the rules of the feeling of the society they are confronted face. Therefore, the integration process also involves an emotional dimension. From a case study, with a biographical focus and an ethnographic perspective, I analyze the emotional management that a pregnant and migrant woman develops in the face of public health policy. The objective is to be able to identify the role of emotions in the trajectory of a pregnant Venezuelan user of the Chile Crece Contigo program. The life story shows how particular events, which I identify as possible obstetric and institutional violence, are attenuated by strategies of regulation and emotional transfer, which sublimate rage, pain, and suffering in a process of general migrant integration.</t>
  </si>
  <si>
    <t>e2836</t>
  </si>
  <si>
    <t>Silva G.L.; Peñafiel J.J.F.</t>
  </si>
  <si>
    <t>El derecho humano a la identidad cultural de los migrantes, fuentes internacionales y recepción en Chile; [O direito humano à identidade cultural dos migrantes, fontes internacionais e recepção no Chile]</t>
  </si>
  <si>
    <t>Chile; Cultural identity; Human rights; Jurisprudence; Migrants; Nondiscrimination</t>
  </si>
  <si>
    <t>The migratory phenomenon is complex in nature and raises, among other issues of broad treatment, the exercise of the right to cultural identity of migrants in regional contexts. But does this right really exist in the Chilean legal sphere in favor of these groups? There are several international human rights instruments of which its progressive development can be observed; and, nevertheless, there are frequent cases in which their protection is denied or limited in the regional spheres through the unequal treatment of people based on their origin and customs. The purpose of this article is to justify the existence of the right to cultural identity in favor of migrants in Chile under an interpretative approach of the national law applicable to the migratory field and the incorporation to this of the existing international standard on the matter. To do this, we will review the main international instruments erected in the matter together with the most relevant doctrine and pertinent international jurisprudence. Next, we will review the incorporation of this international standard into the current Chilean regulations applicable to the immigration field, considering the jurisprudential criteria emanating from the highest Chilean courts. The results will be presented in three parts: (i) panoramic review of the Universal Human Rights System and regional systems in relation to the human right to cultural identity focused on migrants; (ii) study of Chilean law applicable to migrants and their human right to cultural identity; (iii) evaluation of the jurisprudence of the superior courts of justice of this country. The methodology is the study of normative sources, bibliographic review and verification based on jurisprudential review. © 2022 Centro Universitario de Brasilia. All rights reserved.</t>
  </si>
  <si>
    <t>10.5102/rdi.v19i1.8143</t>
  </si>
  <si>
    <t>Silva Villar, Ariany Da; Sharim Kovalskys, Dariela Lea</t>
  </si>
  <si>
    <t>Transitar los intersticios: entendiendo procesos identitarios transnacionales desde el caso de una mujer inmigrante brasileña en Santiago</t>
  </si>
  <si>
    <t>Abstract This paper discusses the subjective identity processes produced in the transnational migration experience through the concept of interstitial identities. To illustrate the uses of this concept, a case built from life stories, in-depth interviews, and photo stories is analyzed. Thus, Maria is identified, a skilled Brazilian immigrant in Santiago de Chile, who chooses to descend from the upper to low socioeconomic class in the destination country to construct herself as the subject of her history. In addition, it reflects on the processuality of their identities and on the identity negotiations that she establishes in the interstice between different cultural configurations she relates transnationally, in which gender and class are relevant categories. Finally, it is concluded that thinking about the migratory experience from interstitial identities does not allow to build identity typologies but to explore the articulations between subject and culture in migration.</t>
  </si>
  <si>
    <t>10.33679/rmi.v1i1.2622</t>
  </si>
  <si>
    <t>Silva, Belen Rojas</t>
  </si>
  <si>
    <t>Chilean women in exile in Grenoble, France: interrogating understandings of exile and nostalgia</t>
  </si>
  <si>
    <t>QUADERNOS DE PSICOLOGIA</t>
  </si>
  <si>
    <t>Women; Emigration; Exile; Chile</t>
  </si>
  <si>
    <t>In this paper, I will focus on the narratives of the trajectories of three Chilean women exiled in Grenoble, France. First, I will dwell on the frames that sustain my reflection and analysis: the repositioning of exile as part of the repressive tactics of the dictatorship, the discussion about women, migrations, and refugees; and the possibilities of a counter-memory that highlights the plurality of exiles and their protagonists. Later, I will refer to a problematic that these narratives (re) illuminate and interrogate: the nostalgia of exiles and the attitudes and actions attributed to it. The narratives allow an adjustment of the argument that a desire for impermanence coupled with a feeling of nostalgia would prevent the beginning of life at destination. Equally, allow questioning the assessment of resisting nostalgia assumed as paralyzing, shadowing the locations of these women, and the conditions and possibilities of the reconstruction of their lives.</t>
  </si>
  <si>
    <t>e1537</t>
  </si>
  <si>
    <t>10.5565/rev/qpsicologia.1537</t>
  </si>
  <si>
    <t>Sippel C.S.; Weber L.</t>
  </si>
  <si>
    <t>Chilean experiences of exile in the “socialist brotherhood” negotiating solidarity, belonging and change in the German Democratic Republic</t>
  </si>
  <si>
    <t>Culture and Psychology</t>
  </si>
  <si>
    <t>belonging; biographical research; Chile; exile; German Democratic Republic; Othering; political persecution; solidarity</t>
  </si>
  <si>
    <t>Based on the empirical material collected in lifetime-narrative interviews, the article illuminates the multiple experiences of Chilean exiles between solidarity, belonging, Othering and foreignness in the German Democratic Republic (GDR). The focus of the biographical case reconstruction based on Rosenthal is the individual negotiation of Othering practices and narratives, which the interview partners rejected, reinterpreted or strategically used for themselves. The results are biographical snapshots which show that not only encounter with (everyday) racism, but also experienced help and solidarity actions could cause discomfort among the Chilean political exiles, since they reflected the hegemonic conditions underlying their stay in the GDR. The interviewees experienced how state-institutionalised solidarity was linked to the political conditions of the Socialist Unity Party of Germany and had its limits where individuals deviated from the behaviour expected of them. Throughout their lives, the interviewees are torn between Chile and the GDR (and later Germany): Confronted with feelings and constructions of foreignness and belonging(s) in relation to both countries they find different and changing ways of dealing with them over the course of their lives. What they have in common is the impossibility of deciding on a single national identity. © The Author(s) 2024.</t>
  </si>
  <si>
    <t>10.1177/1354067X241236719</t>
  </si>
  <si>
    <t>Sirlopú D.; Renger D.</t>
  </si>
  <si>
    <t>Social recognition matters: Consequences for school participation and life satisfaction among immigrant students</t>
  </si>
  <si>
    <t>immigrants; life satisfaction; respect; school participation; social recognition</t>
  </si>
  <si>
    <t>Participation in society is instrumental for democracy and of special importance for minority members. Despite broad research in the context of adults' participation, the earlier formative years and the participation of students in school activities have been neglected so far. The present research examined antecedents and consequences of Latin American migrant students' participation in school activities in Chile. More specifically, we tested whether three forms of social recognition experiences (i.e., need-based care, equality-based respect and achievement-based social esteem) received from Chilean society predicted different forms of school participation. Heightened school participation was assumed to further translate into satisfaction with life. Results of a study with immigrant students (N = 393; 12–20 years old; 56.7% female) revealed, that experiences of social esteem predicted an overall positive perception of school participation and this effect further translated into heightened life satisfaction. Moreover, experiences of respect were associated with participation in school decisions and rules and with participation in school events. The latter effect further translated into enhanced life satisfaction. Care did not play a role in predicting school participation when the other forms of recognition were controlled for. We discuss the importance of social recognition experiences and implications for interventions within educational systems. © 2020 John Wiley &amp; Sons, Ltd.</t>
  </si>
  <si>
    <t>10.1002/casp.2463</t>
  </si>
  <si>
    <t>Sirlopú D.; Van Oudenhoven J.P.</t>
  </si>
  <si>
    <t>Is multiculturalism a viable path in Chile? Intergroup and acculturative perspectives on Chilean society and Peruvian immigrants</t>
  </si>
  <si>
    <t>International Journal of Intercultural Relations</t>
  </si>
  <si>
    <t>Acculturation; Chile; Immigrants; Multiculturalism; Social identity theory; Zero-sum beliefs</t>
  </si>
  <si>
    <t>Many Western democracies have implemented multiculturalism to integrate different minority groups, including immigrants. What happens with countries that are recently experiencing an increasing growth in their immigration rates? This is the case of Chile. As a consequence of continuing economic growth, it has become an attractive destination to people from neighbouring nations. Among these immigrants, Peruvians are the largest group. Since in Chile multiculturalism has started to become an issue of public opinion, the current study analyzed levels of endorsement of multiculturalism and differences in Socioeconomic Status (SES) among Chileans (N= 300) and Peruvian immigrants (N= 400). Based on the Instrumental Model of Group Conflict and Social Identity Theory, we tested predictors of multiculturalism. In addition, we analyzed the relationship between acculturation and intergroup variables in both samples. Findings showed Chilean endorsement of multiculturalism. This was negatively associated with perceived threat and Social Dominance Orientation, especially among people of low SES. Moreover, permeability and legitimacy proposed by Social Identity Theory emerged as important predictors of desire for separation among Peruvian immigrants. These results are discussed in terms of its conceptual and public policy implications in Chile. © 2013 Elsevier Ltd.</t>
  </si>
  <si>
    <t>10.1016/j.ijintrel.2013.09.011</t>
  </si>
  <si>
    <t>Sivan D.</t>
  </si>
  <si>
    <t>Territorializing faith: neighbourhood life cycle enquiry as a tool for capturing demographic change</t>
  </si>
  <si>
    <t>Territory, Politics, Governance</t>
  </si>
  <si>
    <t>conflict; migration; politics; power; urban governance; urban policy</t>
  </si>
  <si>
    <t>This paper focuses on a conflict over an urban resource between secular and Ultra-Orthodox Jews in an Israeli city. It demonstrates the intersection between cultural conflicts, urban processes and politics, and stresses the changing urban dynamics over time and the way conflicting rationales of two competing groups are formed. It highlights how demographic change, initiated and driven by external social and political forces, bears local ramifications in political and power relations. Analysis of the major players and processes (i.e., political power, decision-making and mobilization) attests to the way inter-group tensions and rivalries at the national level are manifested at the local level, and consequently determine the local social reality. The neighbourhood’s life cycle indicates the symbolic as well as the ideological aspects of demographic change and the territorialization of faith through political power and decision-making of the local governance. © 2021 Regional Studies Association.</t>
  </si>
  <si>
    <t>10.1080/21622671.2021.1977175</t>
  </si>
  <si>
    <t>Sokov, Ilya A.</t>
  </si>
  <si>
    <t>THE FOREIGN EXPERTS ON THE INTERNAL POLITICAL TRANSFORMATION'S PROCESSES IN LATIN AMERICA IN THE THIRD DECADE OF THE 21st CENTURY</t>
  </si>
  <si>
    <t>VOLGOGRADSKII GOSUDARSTVENNYI UNIVERSITET-VESTNIK-SERIYA 4-ISTORIYA REGIONOVEDENIE MEZHDUNARODNYE OTNOSHENIYA</t>
  </si>
  <si>
    <t>Brazil; Mexico; Colombia; Argentina; Peru; Venezuela; Chile</t>
  </si>
  <si>
    <t>The article's introduction includes the main prerequisites for internal political transformation's process in Latin America and the Caribbean (LAC). The study's purpose is to identify new trends in the largest countries' domestic policies in the region in the third decade of the 21st century. The study's materials are used mainly by Spanish-speaking authors and Spanish-speaking news agencies who most closely and fully know the situations in LAC countries, the objective data from reports of the various UN structures, and independent Englishspeaking researchers invited to Latin American universities. The article's methodological basis was the scientific principle of objectivity, which it made possible from the available array of information to identify the main directions of transformation taking place in LAC countries in the study period. The systematic approach's application made it possible to identify the main events in LAC countries that characterize the multi-vector transformation trends. The article's author identified further perspectives for LAC countries development with the help of special historicalcomparative and historical-genetic methods. The study's results were the author's conclusions that the domestic policy of big Latin American countries in the third decade of the 21st century is characterized by a tendency of catching up development. There is a noted instability of the domestic political course in the political system of these Latin American countries (from a liberal to a conservative course and vice versa), and the economic models' frequent change does not give the desired result. The social problems are caused by the main population's poverty, especially the indigenous one, and these problems cannot be resolved due to transnational migration of the population and transnational crime (from drug trafficking to human trafficking and weapons). All this explains the diversity of the internal political transformation in Latin American countries.</t>
  </si>
  <si>
    <t>10.15688/jvolsu4.2024.1.21</t>
  </si>
  <si>
    <t>Solans A.M.</t>
  </si>
  <si>
    <t>Food and migrant women in Buenos Aires, Argentina. Traditions, recreations and tensions at meal time; [Alimentación y mujeres migrantes en Buenos Aires, Argentina. Tradiciones, recreaciones y tensiones a la hora de comer]</t>
  </si>
  <si>
    <t>Revista Colombiana de Antropologia</t>
  </si>
  <si>
    <t>Accessibility; Family food; Migration; Traditions; Women</t>
  </si>
  <si>
    <t>Premised on the idea that the migration process leaves its traces on food, in this paper -part of an ongoing research- I will describe and explain the feeding practices of migrant families from Bolivia, Paraguay and Peru currently living in Buenos Aires. My objective is to analyze the food practices of migrant women with emphasis on their home-country culinary traditions, and the food possibilities and limitations determined by their socio-economic conditions.</t>
  </si>
  <si>
    <t>10.22380/2539472X49</t>
  </si>
  <si>
    <t>Solati F.; Chowdhury M.; Rosado F.</t>
  </si>
  <si>
    <t>Labour force participation of immigrant women in Canada: With a special focus on female immigrants from the Middle East and North Africa</t>
  </si>
  <si>
    <t>Journal of International Development</t>
  </si>
  <si>
    <t>Canada; culture; female labour force participation; gender; immigrant; labour market; Middle East and North Africa (MENA); migration</t>
  </si>
  <si>
    <t>Using the Longitudinal Survey of Immigrants to Canada (LSIC) and the linked LSIC-Longitudinal Immigration Database (IMDB), this study finds that of all immigrant women in Canada, those from the Middle East and North Africa (MENA) region have the lowest labour force participation rate. After controlling for various socioeconomic factors and employing logistic regressions on multiple rounds of the LSIC and LSIC-IMDB datasets, this study claims that patriarchal gender roles may have survived for MENA women even after a few years of living in Canada, resulting in relatively low labour force participation. © 2023 The Authors. Journal of International Development published by John Wiley &amp; Sons Ltd.</t>
  </si>
  <si>
    <t>10.1002/jid.3784</t>
  </si>
  <si>
    <t>Solimano A.</t>
  </si>
  <si>
    <t>Why Do Wealthy Individuals Migrate Internationally: Some Economic Considerations</t>
  </si>
  <si>
    <t>Citizenship and Residence Sales: Rethinking the Boundaries of Belonging</t>
  </si>
  <si>
    <t>citizenship by investment; global trends; HNWI; investment residence; migration; wealth</t>
  </si>
  <si>
    <t>In this chapter, I explore of the question of why the wealthy migrate internationally. To do so, I showcase data underpinning trends which indicated that migration is actually part of investment migration and link it to broader trends in international migration. © Cambridge University Press 2023.</t>
  </si>
  <si>
    <t>10.1017/9781108675123.018</t>
  </si>
  <si>
    <t>Sorensen D.</t>
  </si>
  <si>
    <t>Space, mobility, and materiality: Rethinking notions of geographic coherence</t>
  </si>
  <si>
    <t>Reframing Critical, Literary, and Cultural Theories: Thought on the Edge</t>
  </si>
  <si>
    <t>Diasporas; Global studies; Material culture studies; Migration; Mobility studies; Space and place; Spatial turn; Thing studies</t>
  </si>
  <si>
    <t>The recent spatial turn in the humanities and interpretive social sciences has made us aware of the central importance of place and space in our understanding of our objects of study. But it has not stopped the territorial reorganizations that are rendering geographic coherence unstable and shifting in the academy. As we interrogate the area-studies model and nation-based organizations of knowledge, concepts of circulation, displacement and mobility are gaining currency. My essay focuses on the paradigm of mobility to propose a geographic consciousness that thinks of space in terms of a multi-centered world of circuits and contacts. This system is already producing interesting work that deals with objects, persons and discourses in circulation. The very enterprise of tracing displacements in space (not only objects, of course, but also the mobility of refugees, pilgrims, merchants and many other entities on the go) allows us to discover productive itineraries that are no longer bound to fixed space categories. My essay develops illustrations of this paradigm, and the general theoretical implications of a move away from sedentarism. © The Author(s) 2018.</t>
  </si>
  <si>
    <t>10.1007/978-3-319-89990-9_11</t>
  </si>
  <si>
    <t>Soto Hernández D.; González Gálvez M.; di Giminiani P.</t>
  </si>
  <si>
    <t>Innovation as translation in Indigenous entrepreneurship: lessons from Mapuche entrepreneurs in Chile</t>
  </si>
  <si>
    <t>Chile; cultural translation; Indigenous entrepreneurship; innovation; Mapuche</t>
  </si>
  <si>
    <t>Discourses of innovation are prone to homogenisation, and as such, their effects in the development of Indigenous enterprises are highly ambivalent. The elusiveness of innovation can also work as a flexible set of ideas through which Indigenous entrepreneurs reconfigure existing commercial practices. Focussing on two Mapuche enterprises, this article explores how innovation in the context of Indigenous entrepreneurship is performed as a process of cultural translation. We advance a definition of innovation focused on the transformation of Indigenous daily practices into valuable products within a market dominated by non-Indigenous clients and mediators. © 2022 Canadian Association for the Study of International Development (CASID).</t>
  </si>
  <si>
    <t>10.1080/02255189.2022.2117139</t>
  </si>
  <si>
    <t>Soto-Alvarado, Sylvia; Garrido-Castillo, Jaime; Gil-Alonso, Fernando</t>
  </si>
  <si>
    <t>Discursos sobre los motivos para migrar a Chile. De la expulsión a la realización profesional</t>
  </si>
  <si>
    <t>Abstract The paper intends to contribute to understanding the factors leading to the decision to migrate and choose Chile as a destination. Techniques of dialogic inquiry have been used to analyze three groups of migrants (Colombians, Venezuelans, and Spaniards) residing in the Los Lagos Region. The sociological discourse analysis has been used to process the information. The emerging narratives showed four discourse types with respect to migration: forced, traditional labor, professional growth, and the search for professional fulfillment. It is shown that the economic dimension of migration loses relevance while the socio-political circumstances of the sending countries and personal projects and expectations of migrants gain heuristic value.</t>
  </si>
  <si>
    <t>10.33679/rmi.v1i1.2491</t>
  </si>
  <si>
    <t>Soto-Alvarado, Sylvia; Gil-Alonso, Fernando</t>
  </si>
  <si>
    <t>Migration and Development in Chile. Migratory responses to economic crisis and growth cycles, 1992-2012</t>
  </si>
  <si>
    <t>Internal migration; development; economic growth; crisis; Chile</t>
  </si>
  <si>
    <t>This paper analyses how migratory flows and economic growth and crisis phases are interrelated in Chile's Los Lagos region, comparing the booming years starting at the beginning of the 1990s with the recessive period due to the salmon industry crisis -years 2007 to 2010. The main subjects treated are the way in which internal migration characteristics and regional economic growth are interlinked, changes in intra-regional migratory trends during the economic growth and crisis periods, and, finally, migration dynamics by age and their impact on Los Lagos' municipalities. 1992, 2002 and 2012 housing and population census microdata are the databases used for the analysis. It should be taken into account that even though the latter census has not been officialy validated, it can nevertheless be used for statistical purposes.</t>
  </si>
  <si>
    <t>10.22185/24487147.2018.97.26</t>
  </si>
  <si>
    <t>Soto-Alvarado, Sylvia; Gil-Alonso, Fernando; Garrido-Castillo, Jaime</t>
  </si>
  <si>
    <t>Construcción de redes sociales en el lugar de destino: las experiencias de venezolanos, colombianos y españoles en una ciudad intermedia de Chile</t>
  </si>
  <si>
    <t>REVISTA BRASILEIRA DE ESTUDOS DE POPULACAO</t>
  </si>
  <si>
    <t>International migration; Social networks; South-South migration; North-South migration; Chile</t>
  </si>
  <si>
    <t>Abstract This article analyzes international immigrants’ construction of social networks in the country of destination, and the characteristics of these networks according to the country of origin. The case of three groups residing in Chile is studied through a qualitative methodological design based on semi-structured interviews, examined by means of narrative analysis. Results show that those who adapt more easily and quickly to the place of destination tend to establish networks with weak ties. Conversely, those who have more difficulties in adapting to the place of destination, or do so only partially, tend to establish closed, tightly-knit cultural networks.</t>
  </si>
  <si>
    <t>10.20947/s0102-3098a0237</t>
  </si>
  <si>
    <t>Soto-Alvarado, Sylvia; Gil-Alonso, Fernando; Pujadas-Rubies, Isabel</t>
  </si>
  <si>
    <t>HETEROGENEITY OF RECENT INTERNATIONAL IMMIGRATION IN CHILE. AN APPROACH TO THREE NATIONAL GROUPS BASED ON SURVEY DATA</t>
  </si>
  <si>
    <t>International migration; South-South migration; Chile; social exclusion; labor participation</t>
  </si>
  <si>
    <t>Since 2001, international immigration has progressively increased in Chile, and since 2010 the country of origin of immigrants has diversified. There has mainly been an increase in the number of people migrating from South and Central America, and from Colombia, Haiti, and Venezuela particularly. Using 2015 Socioeconomic Characterization (CASEN) survey micro data, this paper analyzes the demographic, socioeconomic and labor conditions of the population of these three countries in comparison to the Chilean and total immigrant populations. Results show that immigrant populations are extremely diverse, and that some foreign populations in Chile are under a great risk of social exclusion.</t>
  </si>
  <si>
    <t>10.14422/mig.i46y2019.004</t>
  </si>
  <si>
    <t>Soza-Amigo S.; Parada J.; Colther C.</t>
  </si>
  <si>
    <t>Commuting phenomenon in Chile during the period 2010-2019; [Conmutación en Chile durante el periodo 2010-2019]</t>
  </si>
  <si>
    <t>Commutator’ profile; Commuting; Commuting type; Interregional commutation; Labor mobility</t>
  </si>
  <si>
    <t>The objective of the current study is to investigate two issues related to the commuting phenomenon in Chile. First, the allometric effect observed between the offered functions and the identified population, particularly in Norte Chico and Patagonia. Second, the no-dal canters have a tendency to concentrate population and have not always contributed in dynamizing its surrounding environment. This has been perpetuated by a mismatch between labour supply and labour demand. In relation to these issues, the purpose of this investigation is to detect the changes in the Chilean labour structures with particular emphasis on commuting. The results revealed that the effects of the changes in labour demand are different. They can be classified as indirect effects on the area that generates these changes, and indirect effects on the rest of the system. In addition, differences between areas in relation to commuters’ profiles and their types of commutation were identified. That is, an interrelation towards the rest of country was observed in the north part of the country (Norte Chico); and a more interregional interrelation characterized by a commuting phenomenon inside the Chilean Patagonia was observed in the south. © 2023, Revista de Geografia Norte Grande. All rights reserved.</t>
  </si>
  <si>
    <t>10.4067/S0718-34022023000200112</t>
  </si>
  <si>
    <t>Soza-Amigo, Sergio; Aroca, Patricio</t>
  </si>
  <si>
    <t>LOST OPPORTUNITIES IN MAGALLANES</t>
  </si>
  <si>
    <t>Input-Output Structural Analysis; Interregional Commutation; Linkage</t>
  </si>
  <si>
    <t>Many researchers highlight the importance of the relationship between sectors with the objective of suggesting solutions related to economical growing (studies about linkages), but few of them relate such information with the effects of primary inputs and the interregional commutation in the economy. Despite the fact that these types of analysis are different, they are strongly related when we intent to inquire in reasons leading toward to a regional growing. This work is focused in the analysis of linkages, salaries and regional commutation, considering different sceneries (open and close economy). The result obtained, left clear the lost of resources that are perceived in Magallanes, and have as a destiny other regions, due to the lack of policies that concentrate in establishing the persons that have higher income in the region.</t>
  </si>
  <si>
    <t>Sparre S.L.; Galal L.P.</t>
  </si>
  <si>
    <t>Incense and holy bread: the sense of belonging through ritual among Middle Eastern Christians in Denmark</t>
  </si>
  <si>
    <t>Denmark; memory; Middle Eastern Christians; migration; Ritual</t>
  </si>
  <si>
    <t>This article investigates how two Middle Eastern Christian churches in Denmark are constructed as particular sensorial spaces that invite attendees to participate in and identify with specific times and spaces. As with other Christian groups, rituals of the Sunday mass constitute a highlight of the activities that confirm the congregations’ faith and community, but for members of a minority faith, these rituals also serve other functions related to identification and belonging. Inspired by a practice-oriented [Bell, Catherine. (1992). Ritual Practice, Ritual Theory. Oxford: Oxford University Press] and phenomenological approach to place-making [Cresswell, Tim. (2002). “Introduction: Theorizing Place.” In Mobilizing Place, Placing Mobility: The Politics of Representation in a Globalized World, edited by Ginette Verstraete and Tim Cresswell, 11–32. Amsterdam: Editions Rodopi B.V.] through sensory communication [Leistle, Bernard. (2006). “Ritual as Sensory Communication: A Theoretical and Analytical Perspective.” In Ritual and Identity: Performative Practices as Effective Transformations of Social Reality, edited by Klaus-Peter Köpping, Bernhard Leistle, and Michael Rudolph, 33–74. Berlin: LIT Verlag; Pink, Sarah. (2009). Doing Sensory Ethnography. London: Sage], the article examines constructions of religious identity and belonging through ritual practices. The findings stem from fieldwork carried out in 2014–2015 and are part of a larger cross-disciplinary study of Egyptian, Iraqi and Assyrian Christians in Denmark. We argue that in various ways, the ritual forms a performative space for memory and belonging which, through bodily practices and engagement with the materialities of the church rooms, creates a memory that reconnects the practitioners with places elsewhere. More specifically, we argue that the Sunday ritual facilitates the connection with God and the eternal, a place and time with fellow believers, and a relocation to remember and re-enter a pre-migration past and ‘homeland’. © 2017, © 2017 Informa UK Limited, trading as Taylor &amp; Francis Group.</t>
  </si>
  <si>
    <t>10.1080/1369183X.2017.1389029</t>
  </si>
  <si>
    <t>Stang Alva, Fernanda; Lara Edwards, Antonia; Andrade Moreno, Marcos</t>
  </si>
  <si>
    <t>Humanitarian rhetoric and expulsability: Haitian migrants and migration governance in Chile</t>
  </si>
  <si>
    <t>Haitian migration; migration governance; global regime for the management/control of migration</t>
  </si>
  <si>
    <t>This article analyzes the link between humanitarian and human rights considerations and the restrictive and indirectly expulsion-orientated effect of recent measures taken in Chile with respect to Haitian migrants. The text reveals that the strategy of appealing to humanitarian rhetoric represents a central element of the paradigm of migratory governance, and is an approach that supports the global regime for the management/control of migration, one that has been materializing in the Chilean State's consideration of international migration since the mid-2000s. These measures are also connected with those adopted by other South American countries, in a scenario of the regionalization of this regime.</t>
  </si>
  <si>
    <t>10.4067/S0719-09482020000100176</t>
  </si>
  <si>
    <t>Stang Alva, María Fernanda; Roessler Vergara, Pablo Ignacio; Riedemann Fuentes, Andrea</t>
  </si>
  <si>
    <t>Re-producción de fronteras en el espacio escolar. Discursos y prácticas de distinción nacional(ista) en escuelas con alumnado migrante en la Región Metropolitana de Chile</t>
  </si>
  <si>
    <t>International migration; nation-state; colonialism; school; bordering processes</t>
  </si>
  <si>
    <t>ABSTRACT: This article intends to reflect, based on the results of two studies carried out in schools with migrant students in communes of the Metropolitan Region of Chile, the way in which discourses and practices built around the nation and national issues produce and re-produce boundaries within the school space, even though they intend to address some of the effects of the classifications and hierarchies that these borders establish. The text seeks to show concrete mechanisms of these bordering processes, built from the ways in which the nation is said and acted.</t>
  </si>
  <si>
    <t>Stang, María Fernanda</t>
  </si>
  <si>
    <t>De la Doctrina de la Seguridad Nacional a la gobernabilidad migratoria: la idea de seguridad en la normativa migratoria chilena, 1975-2014</t>
  </si>
  <si>
    <t>international migration; Chile; security; Doctrine of National Security; migration governance</t>
  </si>
  <si>
    <t>From an inductive approach in the context of critical discourse analysis, the article proposes to show the persistence of the idea of security in the way that the Chilean State has thought international migration in the last four decades (from 1975 to 2014), through four normative texts that are considered crystallizations of that State thought about this social process: Decree Law N° 1.094, of 1975 and still in force; draft law N° 2891 of 1993; the presidential instruction on National Migration Policy of 2008 and the draft law on migration N° 8970-06, presented in 2013. Along with pointing how this idea of security acts as the guiding thread, the article also seeks to explain the way this significant of security has gone through transformation over this period, moving from the paradigm of National Security Doctrine to that of migration governance.</t>
  </si>
  <si>
    <t>Stang, Maria Fernanda; Stefoni, Carolina</t>
  </si>
  <si>
    <t>Politicizing Violence: Migration, Sex-Gender Violence and Community Care</t>
  </si>
  <si>
    <t>Gender-sex violence; community care; migration; politicization; Chile</t>
  </si>
  <si>
    <t>This article deals with gender-sex violence as a significant expression of the structural nature of gender and sexuality in migratory processes. From the biographical approach, expressions of the multiple forms that this violence acquires (direct, structural, cultural) are addressed in the narratives of ten cis and trans migrant women of Latin American origin who reside in the cities of Antofagasta and Santiago, located in the north and central Chile, respectively, and who have an active participation in social organizations that carry out community care tasks, although these labours are not part of the purposes and main actions of these organizations. The approach is carried out around the idea of politicization in two senses: first, from the proposal to politicize sex-gender violence -that is, to make visible the power relations that make it possible and the historical processes that have led to the construction of violent bodies and lives from the framework that intersects gender and sexuality with foreignness, ethnicity, race and class, among other dimensions-; and, second, from the analysis of experiences of politicization of some of these migrant women in which this sex-gender violence is re-signified as the engine of their social participation, a re-signification crossed by the tensions and contradictions that this channeling of participatory action in tasks characterized by sex-gender inequality such as care implies. Although it is concluded that the scope of these experiences in the transformation of this sex-gender violence is fundamentally limited to the individual scale of intra-domestic violence, it is proposed that these organizational experiences, in their daily actions and practices, silently and in the long run term undermine the liminality of the foreigner in relation to the recognition of rights by the State of residence, which harbors transformative potentialities of the idea of citizenship, at least from that practical dimension.</t>
  </si>
  <si>
    <t>10.18800/derechopucp.202202.009</t>
  </si>
  <si>
    <t>Stang, Maria Fernanda; Valderrama, Caterine Galaz; Edwards, Antonia Lara</t>
  </si>
  <si>
    <t>Prefiguration of the migrant and lgtbi+ subject in the Chilean regulations on migration and sexual diversity</t>
  </si>
  <si>
    <t>migration legislation; sex-gender diversity; inequalities; public policies; identity</t>
  </si>
  <si>
    <t>Based on a corpus composed of normative texts from Chile referring, on the one hand, to international migrations (1975 and 2021) and, on the other, to sex-gender diversity (2012 and 2018), this article aims to analyze the way in which prefigurations of the migrant subject and of the subject of gender-sexual dissidence and diversities are constructed, in addition to their implications for lgtbi+ migrants. The approach is made from a critical analysis of feminist discourse. The analysis allows us to observe prefigurations that adopt a position of unidimensional identity reification, conceiving this subject, on the one hand, exclusively as a hetero-cis-normed economic migrant, and on the other, as a vulnerable gender-sexual minority, thus implying an erasure of lgtbi+ migrants and the specific inequalities that affect them.</t>
  </si>
  <si>
    <t>e114</t>
  </si>
  <si>
    <t>10.21670/ref.2303114</t>
  </si>
  <si>
    <t>Steel, Griet</t>
  </si>
  <si>
    <t>Mining and Tourism Urban Transformations in the Intermediate Cities of Cajamarca and Cusco, Peru</t>
  </si>
  <si>
    <t>Mining; Tourism; Intermediate cities; Segregation; Social fragmentation</t>
  </si>
  <si>
    <t>In recent decades, the exponential growth of tourism and mining in Cusco and Cajamarca has made these two intermediate cities in the Peruvian Andes important on the global economic scene. Foreign direct investment in these industries has attracted internal and transnational migrants who now dominate the lucrative real estate and labor markets in these cities. Residents have been driven to the peripheries, and there is a sharp contrast between those who have access to the benefits of mining and tourism and those who do not. The article shows that these intermediate cities can no longer escape the spatial segregation, economic exploitation, and inequality that used to be associated almost exclusively with metropolitan centers. These supposedly livable and harmonious urban environments are increasingly jeopardized by the growing imbalance between the livelihoods of local residents and those of transnational elites.</t>
  </si>
  <si>
    <t>10.1177/0094582X12468866</t>
  </si>
  <si>
    <t>Stefoni C.</t>
  </si>
  <si>
    <t>Formation of a transnational enclave in the city of Santiago, Chile; [Formación de un enclave transnacional en la ciudad de Santiago de Chile]</t>
  </si>
  <si>
    <t>Chile; Cybercafés; Enclave; Peruvian migration; Transnationalism</t>
  </si>
  <si>
    <t>The arrival of Latin American immigrants in Chile has transformed various locations in the city of Santiago. An emblematic case is Plaza de Armas, the historical and foundational center of the city. It is argued that the significant concentration of commercial activities and immigrant everyday practices leads to the creation of a transnational ethnic enclave. The main purpose is to offer an analytic framework describing the recognition, description, and comprehension of the transnational nature that an enclave may acquire. Using the cybercafé as a case study, the author analyzes the social practices, social relations, and materials that circulate within the enclave and beyond its frontiers. She discusses how these three dimensions establish a way of life that permits the construction of the transnational nature of this particular place.</t>
  </si>
  <si>
    <t>SPEC. ISSUE 1</t>
  </si>
  <si>
    <t>Stefoni C.; Corvalán J.</t>
  </si>
  <si>
    <t>The state of the art on the insertion of migrant children in the Chilean school system; [Estado del arte sobre inserción de niños y niñas migrantes en el sistema escolar chileno]</t>
  </si>
  <si>
    <t>ESTUDIOS PEDAGOGICOS</t>
  </si>
  <si>
    <t>Education; Interculturalism; Migration</t>
  </si>
  <si>
    <t>The article aims to make a state of the art focused on the research carried out in Chile regarding the situation of migrant children in the school system. Through the review of academic publications, the article analyze how this research field is configured, what questions are being posed by the researchers, what concepts and categories are used and what problems are relieved and pointed out. The search was concentrated between 2005 and 2017. Two types of texts were selected, on the one hand, those of a scientific nature (articles and book chapters) specific to migration and education focused on the national context-32 texts in total-, and another, official documents emanating from the Ministry of Education related to migration and school education (regulations, technical recommendations) and guidelines for inclusive education in migratory contexts. © 2020 Universidad Austral de Chile.</t>
  </si>
  <si>
    <t>10.4067/S0718-07052019000300201</t>
  </si>
  <si>
    <t>Stefoni C.; Guizardi M.; López E.; Gonzálvez H.</t>
  </si>
  <si>
    <t>Women, borders, and mobilities in Latin America</t>
  </si>
  <si>
    <t>The Palgrave Handbook of Gender and Migration</t>
  </si>
  <si>
    <t>Border studies; Gender studies; Latin America; Migration</t>
  </si>
  <si>
    <t>The aim of this chapter is to arrive at a detailed understanding of the manner by which gender systems are intertwined with the reproduction of borders, and how systems of domination are perpetuated while also creating spaces for resistance and contestation. Employing the perspective of feminist economics, we observe how various industries exploit existing inequities at the border to utilize the low cost of women's labour to establish factories that precaritise work in extreme ways. Drawing on contributions from gender studies in Latin America to the theorization of human mobilities in borders, our discussion focuses on the relationship between labour markets and gender. In doing so, we emphasize the raw and brutal structural violence exerted on the bodies and lives of women in Latin American border territories, which find its extreme expression in trafficking, sexual harassment, and femicide. These extreme expressions are fostered by daily manifestations of gender violence that cross the boundaries between the public and the private spheres in borderlands: in homes, in public spaces, and in areas supposedly protected by State officials who, however, often are among the violators of women's human rights. © The Author(s) 2021. All rights reserved.</t>
  </si>
  <si>
    <t>10.1007/978-3-030-63347-9_32</t>
  </si>
  <si>
    <t>Stefoni Espinoza, Carolina; Lube Guizardi, Menara; Gonzálvez Torralbo, Herminia</t>
  </si>
  <si>
    <t>La construcción política de la frontera. Entre los discursos nacionalistas y la “producción” de trabajadores precarios</t>
  </si>
  <si>
    <t>Migration; borders; global migration regime; Latin America</t>
  </si>
  <si>
    <t>Abstract: This article discusses migratory movement control policies and the production of migrant populations destined to "supply" precarious labor markets. We use as an analytical example the case of Chile and the measures implemented in 2018 by the national government towards Venezuelan and Haitian migration. We analyze how the process of borderization allows us to understand the exercises of cultural and identity delimitation of the nation, and the construction of subjects whose economic and social insertion is conditioned to spaces of vulnerability. To do so, we will present a state of the art regarding the concept of border and characterize the main policies and measures adopted by the Chilean government towards migratory flows from Venezuela and Haiti. Finally, we deliver the main conclusions arising from these cases, in particular the effects of migration control and management measures on the differentiated and selective construction of these movements.</t>
  </si>
  <si>
    <t>10.32735/s0718-6568/2018-n51-1353</t>
  </si>
  <si>
    <t>Women in (Dis)placement: The Field of Studies on Migrations, Social Remittances, Care and Gender in Chile</t>
  </si>
  <si>
    <t>Care; Chile; gender; migration; social remittances</t>
  </si>
  <si>
    <t>This article presents current perspectives on the gender approach to the study of migration in Chile between 1990 and 2018, contextualizing it in light of international debates in the social sciences. We will discuss how the feminization and the growth of Latin American migrations have given rise to a prolific field of research, as exemplified by studies conducted in central and northern Chile. We will show how the concepts of social remittances and caregiving permeate the Chilean debate on migrant women. We conclude with reflections on topics and perspectives to be incorporated into the Chilean research agenda on gender and migration.</t>
  </si>
  <si>
    <t>10.7440/res70.2019.09</t>
  </si>
  <si>
    <t>Stefoni Espinoza, Carolina; Stang Alva, Fernanda; Rojas Varas, Pablo</t>
  </si>
  <si>
    <t>Extractivismo y migraciones: expresiones cambiantes de una desigualdad histórica. La gran minería del cobre en la región chilena de Antofagasta</t>
  </si>
  <si>
    <t>extractivism; mining; internal migration; international migration; commutation</t>
  </si>
  <si>
    <t>Abstract Through an analysis based on previous and ongoing research based on a qualitative methodological approach (life stories, semi-structured interviews with key informants, and documentary review), we analyze the relationship between mobility and the extractive economy of large copper mining in the Antofagasta region, located in the north of Chile. We argue that the extractivism generates various types of mobilities that result in unequal processes of incorporation into the city, which are produced by the intersection of class, origin of migration, gender, ethnicity and racialization.</t>
  </si>
  <si>
    <t>10.51188/rrts.num26.549</t>
  </si>
  <si>
    <t>Stefoni, Carolina</t>
  </si>
  <si>
    <t>IDENTITY RECONFIGURATIONS BASED ON INHABITING THE PUBLIC SPACE. THE CASE OF DAY LABOR MIGRANTS IN SANTIAGO, CHILE</t>
  </si>
  <si>
    <t>Migration; public spaces; collective identities; day labor; Santiago de Chile</t>
  </si>
  <si>
    <t>This article explores the relationship between the socioeconomic conditions of immigrants in Santiago (Chile) and the different forms of inhabiting a particular public space: a corner situated at the civic and historic center of Santiago, where immigrantsmeet on a daily basis to seek for jobs and interact with other nationals. It is argued that the ways in which this corner is inhabited become part of their migratory experience, which is lived in extremely vulnerable and precarious living and working conditions. Encountering others, finding recognition and appropriating the public space, promote the development of a collective identity. The construction of the 'we' occurs through processes of differentiation from the host society and migrant community, which, at the same time, contest forms of stigmatization, and reinforce power positions within the community. Thus, it is argued that collective identities emerge from the ways in which public spaces are inhabited and from processes of differentiation from the local population and from the migrant community itself.</t>
  </si>
  <si>
    <t>10.4067/S0717-73562015005000035</t>
  </si>
  <si>
    <t>Los cibercafé como lugares de prácticas trasnacionales: El caso de la maternidad a distancia</t>
  </si>
  <si>
    <t>Transnational places; migration in Chile; transnational motherhood; cyber cafe</t>
  </si>
  <si>
    <t>The cyber cafes or booths is a type of business that has beenexpanding strongly in sectors where a large number of migrants gather in citiesaround the world. These places are appropriated, occupied and signified in differentways by their users. This article is part of a larger investigation on the formation ofa migrant enclave in the area of _Plaza de Armas in downtown Santiago (Chile).The focus is on the cafes as places where distance motherhood exercize is unfold,one of the most studied transnational practices in the field of migrations. Using anethnographic approach, the article analyzes the daily practices that perform thewomen to communicate with their children and families during weekends. Goingto perform telephone conversations and the use of computers are practices that arepart of a routine that organizes the lives of immigrant women with children in thecities of origin. This routine is installing a place where transnational motherhoodis exercised, and is one of the resignification contexts acquired by cafes, whichwill be discussed in this article.</t>
  </si>
  <si>
    <t>10.4067/S0718-65682013000200010</t>
  </si>
  <si>
    <t>Stefoni, Carolina; Bonhomme, Macarena</t>
  </si>
  <si>
    <t>Una vida en Chile y seguir siendo extranjeros</t>
  </si>
  <si>
    <t>migration; inclusion; life trajectories</t>
  </si>
  <si>
    <t>It has been twenty years since the migratory pattern in Chile started to change. Meanwhile, many migrants have been constructing multiple trajectories in the country. The way in which these trajectories have been constructed is influenced by economic, political and cultural factors that migrants face in both the host society and the society of origin. At the same time, these trajectories show different processes of inclusion in these societies. The aim of this paper is to explore how these processes are experienced and constructed by migrant women in Chile. Based on their life stories, we suggest that the processes of inclusion tend to be marked by a dimension that acquires a greater role and contributes to understand their experiences of migration. Work, family and social networks frame such diverse trajectories, which will be analyzed in this paper.</t>
  </si>
  <si>
    <t>Stefoni, Carolina; Cabieses, Baltica; Blukacz, Alice</t>
  </si>
  <si>
    <t>Migrations and COVID-19: when the securitist discourse threatens the right to health</t>
  </si>
  <si>
    <t>Venezuelan migration; pandemic; COVID 19; human rights; health</t>
  </si>
  <si>
    <t>This article analyzes the coexistence and relationship between two approaches that the State has maintained towards the migrant population in Chile during the current COVID-19 pandemic. The first one arises from the universal Human Rights approach that has guided the advances in the access to the health system for the migrant population. The second one, arises from an exclusionary approach developed by the national security perspective, with a strong focus on the control of irregular migration. At a first glance, both approaches may seem opposite, but the truth is that they have been applied simultaneously, although with variations in intensity according to the political context. Based on previous work carried out by the researchers, we will analyze how both approaches have impacted the Venezuelan population in the country. We will focus on the Venezuelan case since today it represents 30% of the foreign population and because it has been one of the focuses of the measures implemented by the government in the last year.</t>
  </si>
  <si>
    <t>10.47456/simbitica.v8i2.36378</t>
  </si>
  <si>
    <t>Stefoni, Carolina; Jaramillo, Matias; Bravo, Aline; Macaya-Aguirre, Gustavo</t>
  </si>
  <si>
    <t>Colchane. The construction of a humanitarian crisis in the border area of northern Chile</t>
  </si>
  <si>
    <t>border; forced displacement; refugee; humanitarian crisis; migration</t>
  </si>
  <si>
    <t>The purpose of this article is to analyze the duality that exists in how the States approach the current Venezuelan migration in the region between the humanitarian perspective and the securitist perspective. From the defini-tion of Venezuelan migration as a crisis and forced displacement the result is the increase in more restrictive border control measures, the increase in ir-regular entry and humanitarian aid to those who are in extremely precarious and vulnerable conditions, unresolving irregularity or the consequences that this situation has on people who arrive to Chile. The article takes the case of the border between Chile and Bolivia and the increase of unauthorized cross-ings at the Colchane border and is based on the results of two investigations carried out during 2021, the first based on qualitative interviews and field observations, and the second based on survey results and field observation.</t>
  </si>
  <si>
    <t>e113</t>
  </si>
  <si>
    <t>10.21670/ref.2302113</t>
  </si>
  <si>
    <t>Stefoni, Carolina; Leiva, Sandra; Bonhomme, Macarena</t>
  </si>
  <si>
    <t>Migración internacional y precariedad laboral. El caso de la industria de la construcción en Chile</t>
  </si>
  <si>
    <t>Labour market; migration; construction industry; subcontracting; labour precariousness</t>
  </si>
  <si>
    <t>Abstract In recent decades, the construction industry has undergone significant changes in labour management, working conditions and workforce composition, with a significant increase on the recruitment of migrant workers. The aim of this paper is to analyze the relationship between subcontracting as a management model, the working conditions that prevail within the type of contract commonly used, and the presence of migrants in the construction industry. We argue that these three elements that characterize the construction industry are closely related. Based on a qualitative methodological approach that consisted of interviews conducted in Santiago, Iquique and Antofagasta, as well as participant observations in the construction field in Santiago, this study reveals that the precariousness in the working conditions is related to the increased recruitment of migrant workers, whose vulnerability becomes suitable for such an economic model.</t>
  </si>
  <si>
    <t>10.1590/1980-85852503880004906</t>
  </si>
  <si>
    <t>Stefoni, Carolina; Nazal, Esteban; Guizardi, Menara</t>
  </si>
  <si>
    <t>The Chilean-Peruvian border: States, localities and migration policies (1883-2019)</t>
  </si>
  <si>
    <t>border; migration policy; control; Chile; Peru</t>
  </si>
  <si>
    <t>Based on the review of the existing literature the article analyzes the construction of the Chilean-Peruvian border, focusing in the relationship between the constant mobility of people within the localities near the border, and Chilean immigration policies and legislation. Five periods are reviewed: i) 1883- 1929, after the War of the Pacific; ii) 1929-1950, with the relative Chilean State absenteeism in the Chilean northern border; iii) 1950-1973, with the Chilean cycle of border industrialization; iv) 1973-1990, when Chile and Peru applied military, strategic and geopolitical criteria in their relationship with these borders; and v) 1990-2019, with the recovery of democracy and the consolidation of the neoliberal model.</t>
  </si>
  <si>
    <t>10.4067/S0718-23762022000100135</t>
  </si>
  <si>
    <t>Stefoni, Carolina; Ramirez, Carolina; Carbajal, Myrian; Cavagnoud, Robin</t>
  </si>
  <si>
    <t>Transnational care and old age. Theoretical approaches and pending debates</t>
  </si>
  <si>
    <t>transnational care; transnational family; ageing; migrations</t>
  </si>
  <si>
    <t>The aim of this article is to review the literature on transnational care studies, specifically on the adult population left behind in the country of origin when children migrate. For this purpose, a search, review and systematisation of the international literature (books and articles) and journals on migration, gender and family studies has been carried out. We propose that two analytical points of focus converge in this discussion. The first is derived from studies on transnational migrant families and the second from studies on care. Through a review of the literature, we have identified the main contributions that each of these points of focus makes to the analysis of care for the elderly in contexts of transnational migration, and we also review some of the missing data and blind spots in order to elaborate on emerging research agendas in this area.</t>
  </si>
  <si>
    <t>Stefoni, Carolina; Stang, Fernanda</t>
  </si>
  <si>
    <t>La construcción del campo de estudio de las migraciones en Chile: notas de un ejercicio reflexivo y autocrítico</t>
  </si>
  <si>
    <t>migration; field of study; Chile; south-south migration; discrimination and racialization; gender</t>
  </si>
  <si>
    <t>Abstract Along with the growth of the international migration over the last 20 years in Chile, there has been a steady increase in scientific research and publications. This academic interest has allowed the development of a field of studies that is characterized, as every field is, by a certain accumulation of knowledge, thematic diversification, theoretical discussion, approaches from different disciplines and delimitation of particular forms. The interest of this article is to analyze the scientific production on migration in Chile during this period, using two approaches: one thematic and the other analytical. In the results of this work, a reflection on the way in which the category of migration is constructed from the field of social sciences in the country and a possible thematic agenda is presented for future research.</t>
  </si>
  <si>
    <t>10.17141/iconos.58.2017.2477</t>
  </si>
  <si>
    <t>Stefoni, Carolina; Stang, Fernanda; Riedemann, Andrea</t>
  </si>
  <si>
    <t>Educación e interculturalidad en Chile: Un marco para el análisis</t>
  </si>
  <si>
    <t>migration; intercultural education; Chile; ethnification; antiracial education</t>
  </si>
  <si>
    <t>Societies are undoubtedly subject to continuing change. But we do not know exactly how deep these changes are, where they lead to, the interrelations of the various aspects involved, its effects in other fields and how, as these are modified, they bring about transformations that change the various fields anew. In this scenario of movements and counter movements it is not only difficult but fanciful to establish causal relationships to comprehend social phenomena. To believe that migrants per se cause the effects and demands they are assigned with - such as the displacement of domestic workers from labor markets, the lack of security of the neighborhoods they live in, the increase of crime rates, drug trafficking and, at present, terrorism - can work in political nationalist discourse, but not in the argumentative debate that should characterize the academic world.</t>
  </si>
  <si>
    <t>185</t>
  </si>
  <si>
    <t>10.5354/0719-3769.2016.44534</t>
  </si>
  <si>
    <t>Stoesslé P.</t>
  </si>
  <si>
    <t>What security and for whom? The social construction of exclusion of migrants from citizen security and health security in Mexico</t>
  </si>
  <si>
    <t>Latin American Policy</t>
  </si>
  <si>
    <t>citizen security; criminalization; health security; Mexico; migration; pathologization</t>
  </si>
  <si>
    <t>This article explores the social construction of international migrants as a threat to public health and public safety in Mexico, specifically in the case of the Metropolitan Area of Monterrey, since relations within this new sense of “otherness” in this city cause issues for public health and citizen security as traditionally conceived. An in-depth review of the secondary literature on citizen security and health security related to migration and of the Mexican legal framework was conducted, and public information requests were made to Mexican public agencies. If citizen and health security are complementary paradigms, migrants seem excluded from their application. Far from being considered holders of rights, they are primarily restricted in their exercise of rights because they are not “citizens.” These “newcomers” are perceived as “pathogenic agents” and “criminal illegal immigrants” rather than as deserving of these rights by the authorities, the media, and the majority population of Monterrey. These dynamics are likely to keep them not only on the fringes of “the city” but also in a very vulnerable position to fall victim to of all kinds of exploitation, resulting in a form of “management” of human mobility based on exclusion. © 2024 The Authors. Latin American Policy published by Wiley Periodicals LLC on behalf of Policy Studies Organisation.</t>
  </si>
  <si>
    <t>10.1111/lamp.12325</t>
  </si>
  <si>
    <t>Stojilkovic B.</t>
  </si>
  <si>
    <t>Selected Case Studies of Present-Day Processes and Events in Latin America; [Izbrani primeri aktualnih procesov in dogodkov v Latinski Ameriki]</t>
  </si>
  <si>
    <t>Geografija v Soli</t>
  </si>
  <si>
    <t>Argentina; Bolivia; Brazil; Chile; Elections; Latin america; Migrations; Strikes; Tropical rainforest; Venezuela</t>
  </si>
  <si>
    <t>Different media reported about the 2019 development in Latin America, where many significant events as well as a number of different physical and human processes took place which resulted in environmental changes, peace in the region and migration currents, and will have consequences for the countries' and global development in the coming years. The article presents some of the recent physical and human geographical events in Latin America, reasons for them and their consequences. They include the Amazon rainforest fires, political crisis and migrations from Venezuela and consequent pressure on other countries in the region, political crisis in Bolivia, demonstrations in Chile and political change in Argentina. © 2020 Geografija v Soli. All rights reserved.</t>
  </si>
  <si>
    <t>Strong T.; Sametband I.; Gaete J.</t>
  </si>
  <si>
    <t>Constructing Processes of Involuntary Global Migration: An Introduction to the Special Issue</t>
  </si>
  <si>
    <t>Journal of Constructivist Psychology</t>
  </si>
  <si>
    <t>counseling; cross-cultural; immigrant; Migration; psychology; refugees</t>
  </si>
  <si>
    <t>Involuntary (or forced) global migration has been bringing together people of different cultural backgrounds, including migrants and those hosting them. In this introductory article and the articles which follow, we focus on the meanings constructed of involuntary migration processes, aiming to better understand these processes according to those who participate in them (both migrants and hosts). We locate ourselves as social constructionist researchers and clinicians, interested in language use and its consequences in social interactions such as interactions between involuntary migrants and hosts. We view language as central to the communicable sense we make of involuntary migration. As clinicians, we view discourse and conversation as central to our work and use discursive research methods to explore how our conversational partners’ cultural preferences are recognized and negotiated in the turn-by-turn of our conversations. We close by introducing articles that, from different theoretical and clinical perspectives, focus on the discursive, cross-cultural negotiated conversational process between involuntary migrants and the local communities into which they integrate. © 2019 Taylor &amp; Francis Group, LLC.</t>
  </si>
  <si>
    <t>10.1080/10720537.2019.1700855</t>
  </si>
  <si>
    <t>Subercaseaux, Bernardo</t>
  </si>
  <si>
    <t>La Araucana's Reception in Spain and Europe: Literary Nationalism, Canon and Migration</t>
  </si>
  <si>
    <t>reception; literary historiography; epic; canon; migration</t>
  </si>
  <si>
    <t>the article aims to study the context of production and reception of the poem La Araucana. This, by considering editorial facts and literary historiography both in Spain and the rest of Europe. It also reviews the nationalistic approach, the literary canonization process, and the possibility of migration from one canon to another. Taking this into account, the articles argues for the double inscription of the poem in terms of national and literary identity.</t>
  </si>
  <si>
    <t>Summers K.; Crist J.; Streitwieser B.</t>
  </si>
  <si>
    <t>Education as an Opportunity for Integration: Assessing Colombia, Peru, and Chile's Educational Responses to the Venezuelan Migration Crisis</t>
  </si>
  <si>
    <t>Journal on Migration and Human Security</t>
  </si>
  <si>
    <t>Chile; Colombia; complementary pathways; Latin America; migration; Peru; refugees; Venezuela</t>
  </si>
  <si>
    <t>With over 5 million Venezuelans fleeing their home country, Latin America is facing the largest migration crisis in its history. Colombia, Peru, and Chile host the largest numbers of Venezuelan migrants in the region. Each country has responded differently to the crisis in terms of the provision of education. Venezuelan migrants attempting to enter the primary, secondary, and higher education systems encounter a variety of barriers, from struggles with documentation, to limited availability of spaces in schools, to cultural barriers and xenophobia. This paper examines the distinct educational policy responses to Venezuelan migrants in Colombia, Peru, and Chile. It begins by contextualizing the current crisis through a sociopolitical and economic analysis of the origins of the Venezuelan migration phenomenon. Venezuelans are not officially and legally recognized as refugees by the UNHCR. Refugee status is considered on a case-by-case basis at the country level. The regional coordinating bodies tasked with promoting safe, orderly, and legal migration of Venezuelans to host countries have given uneven attention to education. The paper examines each country's response to Venezuelan migrants from a human rights perspective. It provides sociopolitical context and discusses the specific educational offerings from the primary to tertiary levels in Colombia, Peru, and Chile. It considers alternative or flexible education models, second shift schools, access to school transportation and feeding programs, and teacher training opportunities that cater to the growing migrant population. It explores barriers to entry into the educational system, including documentation challenges due to legal and enrollment requirements, constraints on the host countries’ education systems, and discrimination due to lack of intercultural training and xenophobia. It also discusses challenges related to the quality of the educational opportunities for Venezuelan migrant children, and the specific needs of these children. The paper considers several ideas to protect Venezuelan migrants’ rights to an education and to strengthen their integration. Finally, it offers recommendations on sustainable education solutions for Venezuelan migrants at all levels in the three countries. These recommendations include improving information sharing, addressing structural bottlenecks to school enrollment, and expanding pathways (existing and complementary) to higher education. © The Author(s) 2022.</t>
  </si>
  <si>
    <t>10.1177/23315024221085189</t>
  </si>
  <si>
    <t>Sumonte Rojas, Valeria; Friz Carrillo, Miguel; Sanhueza, Susan; Morales Mendoza, Karla Rosalia</t>
  </si>
  <si>
    <t>Linguistic and cultural integration program: Non Spanish-speaking migration</t>
  </si>
  <si>
    <t>Culture; Language; Migration; Linguistic Interdependence Hypothesis</t>
  </si>
  <si>
    <t>Chile, despite having a migration history, has not generated educational programs supported by government policies that encourage the acquisition of the linguistic variety of the host society, by non-Spanish-speaking immigration community, integrating the cultural referents of both collectives. It is suggested an option to this historical oblivion and we consider the following: What elements should be integrated into a program for acquiring the linguistic variety of the host society focused to Haitian immigrants fostering the cultural recognition? It is presented the design and implementation of a program that adopts the Linguistic Interdependence Hypothesis in a dynamic classroom working in a collaborative and situated way. As a conclusion, it is possible to educate in a second language from a program that incorporates elements that promote the interrelation of all participants in equality of knowledge, as well as the use of participant's linguistic codes as a manifestation of respect and interest for what each participant can contribute from his/her L1, revealing their culture of origin.</t>
  </si>
  <si>
    <t>10.32735/S0718-2201201900048625</t>
  </si>
  <si>
    <t>Sumonte Rojas, Valeria; Sanhueza-Henríquez, Susan; Friz-Carillo, Miguel; Morales-Mendoza, Karla Rosalía</t>
  </si>
  <si>
    <t>MIGRACIÓN NO HISPANOPARLANTE EN CHILE: TENDIENDO PUENTES LINGÜÍSTICOS E INTERCULTURALES</t>
  </si>
  <si>
    <t>Language; migration; interculturality; intercultural communication</t>
  </si>
  <si>
    <t>Abstract: In Chile, the number of non Spanish-speaking immigrants provides a new social and cultural configuration, particularly regarding the representation of different languages. A case of interest, it is Haitian migration. From the perspective of those who have migrated, the lack of knowledge of Spanish language generates different difficulties to carry out legal procedures, to look for work or to insert themselves in educational contexts; whereas, from the local society, it does not have enough resources to respond to the linguistic demands presented by this population. In this context, the article aims to identify the pedagogical elements that are at the base of a program of intercultural communicative competences through a documentary research. We have considered the teaching of Haitian Creole as a second language directed to public officials who are in the first line of contact with people from Haiti. The results show that the adoption of a language reciprocity approach, the participation of linguistic mediators and an adequate selection of cultural knowledge are essential elements when implementing a program.</t>
  </si>
  <si>
    <t>57</t>
  </si>
  <si>
    <t>Sumonte, Valeria; Sanhueza, Susan; Friz, Miguel; Morales, Karla</t>
  </si>
  <si>
    <t>Inmersión lingüística de comunidades haitianas en Chile: Aportes para el desarrollo de un modelo comunicativo intercultural</t>
  </si>
  <si>
    <t>Culture; Language; Migration; Educational method</t>
  </si>
  <si>
    <t>The language diversity found in societies is a differentiating feature between cultures and a means of social integration. In Chile, the Haitian migration has attracted the interest of the scientific community, especially regarding to linguistic aspects, where the lack of knowledge of the target language constitutes a factor for exclusion and, cultural and territorial segregation. In this context, our objectives are: a) to analyze the historical and contextual determinants of the Haitian migration, b) to describe linguistic immersion educational models and c) to suggest basis elements for a linguistic immersion educational model from an intercultural communicative approach. The theoretical discussion suggests moving forward to a strategy of appreciation and legitimization of the different languages from a universal approach of right.</t>
  </si>
  <si>
    <t>Svendsen S.H.B.; Ask K.; Øygardslia K.; Skotnes C.E.; Ringrose P.; Grut G.; Røkenes F.</t>
  </si>
  <si>
    <t>Migration narratives in educational digital storytelling: which stories can be told?</t>
  </si>
  <si>
    <t>Learning, Media and Technology</t>
  </si>
  <si>
    <t>critical education; digital literacy; Digital stories; migration; refugee narratives</t>
  </si>
  <si>
    <t>This article investigates use of digital storytelling as a learning activity in education about migration. Based on a study in two Norwegian schools and two adult education centers for refugees and migrants, the article analyzes student’s digital stories and observations of the process of production. Counter to research on the promise of digital storytelling to promote diverse perspectives, personal experience and creativity, our findings show that digital stories as a learning activity includes powerful standardization drivers. The standardization limits diversity in students’ knowledge and experience from coming into view in the final product. The identified standardization drivers are; (1) discursive blueprints of refugee experience, including the narrative about the ‘Good Refugee’ and idealization of the destination country, (2) challenges with representing traumatic experiences through photographic imagery, and (3) material affordances in the production process such as google algorithms. In conclusion, we argue that critical engagement with the involved modalities and standardization drivers is a condition for using digital stories to foster critical thinking about migration. © 2021 Informa UK Limited, trading as Taylor &amp; Francis Group.</t>
  </si>
  <si>
    <t>10.1080/17439884.2021.1954949</t>
  </si>
  <si>
    <t>Swanson, Kate</t>
  </si>
  <si>
    <t>ZERO TOLERANCE IN LATIN AMERICA: PUNITIVE PARADOX IN URBAN POLICY MOBILITIES</t>
  </si>
  <si>
    <t>URBAN GEOGRAPHY</t>
  </si>
  <si>
    <t>zero tolerance; Latin America; policing; transnational migration; youth</t>
  </si>
  <si>
    <t>In Latin America, high levels of crime have prompted many politicians to embrace zero tolerance policing in order to quell public fears. While the overall impacts on urban crime are debatable, zero tolerance in the region has morphed into a powerful policy narrative that symbolizes strong leaders who crack down crime and disorder. Its impacts have been far-reaching; to date, it has been implemented in various guises in Mexico, Brazil, Ecuador, Venezuela, Chile, Argentina, Honduras, El Salvador, Guatemala and the Dominican Republic. Yet, the policy transfer of zero tolerance to Latin America has mutated into a much more punitive approach. In this paper, I develop a critical analysis of the punitive inequalities of zero tolerance policing in Latin American cities, and the consequences for marginalized and racialized youth. I also explore the emergence of a new, unexpected consequence of zero tolerance: the South-North migration of undocumented people.</t>
  </si>
  <si>
    <t>10.1080/02723638.2013.799369</t>
  </si>
  <si>
    <t>Swider S.</t>
  </si>
  <si>
    <t>Reshaping China’s Urban Citizenship: Street Vendors, Chengguan and Struggles over the Right to the City</t>
  </si>
  <si>
    <t>Chengguan; China; migration; right to the city; spatial politics; street vendors; unregistered migrants; urban citizenship</t>
  </si>
  <si>
    <t>This article examines spatial politics involved with the remaking of urban citizenship across Chinese cities. China’s emerging urban citizenship is shaped by its hukou system, which not only spatially and socially segregates rural migrants and urban natives in the cities, but also creates a large group of unregistered or ‘illegal’ migrants. This case study of unregistered migrant street venders looks at the implications of their unregistered status and how it has changed over time, shifting from creating benefits to becoming a burden. I capture how unregistered migrants’ lack of status has increasingly become an important basis of exclusion, and a burden, as they are denied access to new legitimate avenues of claims-making such as NGOs, courts and arbitration. This helps explain the increasingly common, and intensifying, clashes between migrant street vendors who are struggling for a right to the city and the chengguan, public security officers who are charged with regulating the streets. © 2014, © The Author(s) 2014.</t>
  </si>
  <si>
    <t>10.1177/0896920514529676</t>
  </si>
  <si>
    <t>Sydiq T.</t>
  </si>
  <si>
    <t>Exploring transterranean activism as a research site beyond local protest sites</t>
  </si>
  <si>
    <t>Environment and Planning C: Politics and Space</t>
  </si>
  <si>
    <t>activism; activism; migration; Protest; sea; space</t>
  </si>
  <si>
    <t>Increased interest in the spatial dimension of protests and activism has led to both the material spatial condition of protest activities and their spatial effect entering academic debate. With Social Movements being a dominant paradigm for activism which focuses on strategic localization and scalar tactics, an emphasis has been put on political activities in proximity to either centralized power or to actor communities and networks. On the fringes of Social Movements, however, smaller types of direct action have been emerging in places outside of conventional, landed spaces. Chinese and Japanese nationalists symbolically contesting national authority over islands in the Pacific, Environmentalists blockading oil platforms in the North Sea, refugee rights groups preventing air-based deportations and nationalists attempting to prevent human rights groups from saving drowning migrants have in common that the site of their activities are beyond the traditional power base of the state on solid ground and make use of specific sets of laws and regulations. This paper argues that transterranean spaces encompass an interplay of state and non-state actors heavily impacted by their location. As these spaces exist beyond the mainland, they share a lack of presence of both state and society. Both state agencies and activists have to adapt their strategies during successive contentions. I conceptualize this relationship as contentious configurations shaping these interactions: Vertical Activist-State, horizontal activist-activist and interconnected state-state contentious configurations. They serve as heuristic tool to analyze protest dynamics in transterranean spaces by highlighting both state power and actor’s engagement with it. With technological advancements and increased access to transterranean, such contentions are likely to increase. © The Author(s) 2023.</t>
  </si>
  <si>
    <t>10.1177/23996544231188833</t>
  </si>
  <si>
    <t>Sylvia Rosas-Bustos, Catherine</t>
  </si>
  <si>
    <t>Feasibility of Managing Traditional Knowledge from the Culture on the Territory</t>
  </si>
  <si>
    <t>REVISTA DE ESTUDIOS ANDALUCES</t>
  </si>
  <si>
    <t>Traditional Knowledge; Management; Heritage; Rural Communities; Indigenous Communities</t>
  </si>
  <si>
    <t>In the context of globality, there has been a sustained migration from the countryside to the city, which has generated a loss of traditional knowledge of rural and indigenous Latin American communities. Faced with the need to recover this knowledge, and in this requirement to efficiently manage resources, the objective was to create an initial strategy for evaluating the feasibility of managing this knowledge. For this, two case studies were carried out, the Construction System of mud and straw houses, in the commune of Colchane, Tarapaca region, northern Chile., And the Rural Women's Table in the commune of Licanten, Maule region, southern Chile. In these cases, it was verified if there is still a system of activities and interconnection between knowledge, which allowed us to corroborate the feasibility of managing this knowledge, as heritage and resource for the sustainable development of the communities in its territory.</t>
  </si>
  <si>
    <t>10.12795/rea.2020.i40.06</t>
  </si>
  <si>
    <t>Takenaka A.; Pren K.A.</t>
  </si>
  <si>
    <t>Leaving to get ahead: Assessing the relationship between mobility and inequality in Peruvian migration</t>
  </si>
  <si>
    <t>Impact of migration; Peru; Remittances; Sending context; Social mobility</t>
  </si>
  <si>
    <t>Analysis of the impact of international migration on the socioeconomic conditions of migrants and their families in Peru, using data from the Latin American Migration Project, suggests that international migration contributes to individuals socioeconomic well-being. While those who migrate tend to come from relatively privileged backgrounds in the first place, they gain further relative economic advantage by moving out of the country. A possible implication of this is that the growing international migration observed today is likely to exacerbate rather than ameliorate the already uneven distribution of income and rigid socioeconomic hierarchy in Peru. © 2010 Latin American Perspectives.</t>
  </si>
  <si>
    <t>10.1177/0094582X10379106</t>
  </si>
  <si>
    <t>Tala P.</t>
  </si>
  <si>
    <t>Migration, return and lenguaje in current Latin American narrative: El espíritu de mis padres sigue subiendo en la lluvia by Patricio Pron; [Migración, retorno y lenguaje en la narrativa latinoamericana de hoy: El espíritu de mis padres sigue subiendo en la lluvia de Patricio Pron]</t>
  </si>
  <si>
    <t>Literatura y Linguistica</t>
  </si>
  <si>
    <t>Language; Latin American narrative; Migration; Return</t>
  </si>
  <si>
    <t>This article examines how, in his last novel, El espíritu de mis padres sigue subiendo en la lluvia, the young Argentinean writer, Patricio Pron, creatively presents, at least two processes: first, he shows the reader the complex process of migration/return and some related constructions of meaning. On the other hand (and at the same time), the narrative machine set up by Pron relates/articulates the migration/return theme to the unavoidable operations ocurring in literary language, which demanded until its limits of its expression, seeks different ways to express the vital experience of the narrator, his family and his country.</t>
  </si>
  <si>
    <t>10.4067/S0716-58112012000200008</t>
  </si>
  <si>
    <t>Tapia Ladino, Marcela</t>
  </si>
  <si>
    <t>FRONTIER, MOBILITY AND RECENT CIRCULATION OF PERUVIANS AND BOLIVIANS IN THE NORTH OF CHILE</t>
  </si>
  <si>
    <t>border; mobility; circulation; border area</t>
  </si>
  <si>
    <t>Since the 1990s, Chile has become a destination for South American migration at the continental level. However, at the local level, the Tarapaca region has had a high presence of border dynamics throughout its history. In this context, the study of border space is central to testing notions that we have used in research on migration, including society, border and migrants. Our analysis of the literature shows that the migratory patterns and trends in the region under study are more reflective of broader and more inclusive concepts such as mobility and movement. This is due to the fact that the interweaving of the legal framework, the border labor market, and development gaps between the adjacent space of Tarapaca produce circulation space, where the return and multi-local (binational) establishment are its characteristic features.</t>
  </si>
  <si>
    <t>Migrations and Borders: Contributions to Understand Mobility in Cross-border Areas</t>
  </si>
  <si>
    <t>Borders; migration; cross-border social practices; adjectival mobilities</t>
  </si>
  <si>
    <t>This work is the result of two research projects designed to present a more precise definition of population movements in border areas. To that end, they include a review of topics such as migration, borders, transnationalism and the mobility paradigm. In this analysis, we verify the central role that the notion of migration has played in studies of international and border displacements and highlight the need to propose a more precise definition. Thus, based on the notion of social practices - of different types - coined by Abelardo Morales (2010. Desentranando Fronteras Y Sus Movimientos Transnacionales Entre Pequenos Estados. Una Aproximacion Desde La Frontera Nicaragua-Costa Rica. In Migraciones Y Frontera. Nuevos Contornos Para La Movilidad Internacional, ed. M.E. Anguiano, and A.M. Lopez, 185-224. Barcelona: Icaria), we define these practices as cross-border insofar as they involve two or more national states, which give rise to a series of adjectival mobilities. These can be formal or informal and for different reasons, i.e. healthcare, leisure, trade or work, among others. Likewise, we verify that both cross-border social practices and adjectival mobilities are factors that generate cross-border mobilities in border areas.</t>
  </si>
  <si>
    <t>10.1080/08865655.2021.1948897</t>
  </si>
  <si>
    <t>Border and migration in northern Chile from the analysis of population censuses, XIX-XXI centuries</t>
  </si>
  <si>
    <t>Border; border migration; region</t>
  </si>
  <si>
    <t>Studies on frontier and border migration are an area of exploration that help to increase the look on human mobility given that the inclusion of regional migration phenomenon is not given in a disconnected way from what happens in other areas of the country or neighboring countries. This work aims to provide knowledge that includes the long duration of border migration in Chile, as well as care for the recent phenomenon of increasing migration of South American migrants in the center of the country. It is postulated that migration from Peruvian and Bolivian border has been central to the configuration of the tarapaquenian society fundamentally tied to economic cycles and the benefits of the border crossing at different historical moments. In this sense, population censuses are the main sources of information and the starting point of any study on border migrations, however we can see the need to expand the exploration of other complementary statistics in order to advance towards a fuller understanding of the dynamics migration in the border areas.</t>
  </si>
  <si>
    <t>Colchane and Iquique in times of pandemic: from the margins to the centre of the Venezuelan humanitarian crisis (2020-2022)</t>
  </si>
  <si>
    <t>border; human mobility; cross-border social practices</t>
  </si>
  <si>
    <t>The article addresses the place of Colchane and Iquique in the forced displacement of the Venezuelan population from the beginning of the COVID-19 pandemic until March 2022. The authors argue that the closure of the land borders produced a serious crisis that affected the mobility of Venezuelan migrants, as well as impacting the lives of the inhabitants of the highlands and the coastal city of Iquique. The adoption of centralist measures based on the armouring and militarisation of the border zone, together with the restrictions imposed by the health authorities, affected Venezuelan mobility, and also impacted the cross-border social practices of the border communities and the life of the city. Thus, inefficient migration management, coupled with the abandonment of the legal obligation to protect, favoured the growth of a hostile climate that led to xenophobic responses, which led to the criminalisation of the migratory flow and anti-migrant demonstrations. Consequently, the idea of the border as a separation, protection and protective shield was reinforced by the pandemic and structured the mobility of those who crossed it, making their lives more precarious and vulnerable.</t>
  </si>
  <si>
    <t>10.4067/s0719-09482023000100203</t>
  </si>
  <si>
    <t>Tapia Ladino, Marcela; Liberona Concha, Nanette; Contreras Gatica, Yasna</t>
  </si>
  <si>
    <t>The emergence of a circulatory territory at the Chile-Peru border: study of socio-spatial practices of frontier</t>
  </si>
  <si>
    <t>Border; mobility; circulation; migration; socio-spatial practices</t>
  </si>
  <si>
    <t>This article presents the results of a survey conducted at the Chacalluta border crossing on Chile's northern border with Peru. Based on the survey, data collected by the police, and secondary sources, we postulate that although the Chile-Peru border separates the two countries, the socio-spatial border practices of the Chileans and Peruvians who cross and inhabit the border between Tacna and Arica produce a circulatory territory that generates cross-border continuity at the territorial level. Drawing on the survey results, we examine the profiles of these border crossers, their motivations, and the ways that they cross and provide a description of the socio-spatial productive and reproductive practices identified. All of this allows us to visualize the emergence of a circulatory territory as a result of the diversity of mobilities.</t>
  </si>
  <si>
    <t>Tapia Ladino, Marcela; Ramos Rodríguez, Romina</t>
  </si>
  <si>
    <t>Mujeres migrantes fronterizas en Tarapacá a principios del siglo XXI: El cruce de las fronteras y las redes de apoyo</t>
  </si>
  <si>
    <t>Migration border; transnationalism; information networks; migrant women</t>
  </si>
  <si>
    <t>Border migration is an increasingly important phenomenon in the region due to the current crisis context of northern countries and the economic strengthening for some South American nations as is the case of Chile. The focus of this study is female migration to the region of Tarapacá, Chile, over the past few years, the motivations for migrating, the border crossing experience, and the place of support networks in the configuration of border migration in the context of reception. The analysis of that migratory experience and the work of entities that provide pastoral care for migrants based on the testimonies of migrants themselves- allow us to explore how the community is structured at destination, its composition and monitoring in a border zone. The characteristics of migrant women and their support networks help explain their access to specific feminized employment opportunities, the fragility of their living conditions for migrant women, and border mobility strategies.</t>
  </si>
  <si>
    <t>10.4067/S0718-65682013000200011</t>
  </si>
  <si>
    <t>Tapia, Roberto Dufraix; Rodríguez, Romina Ramos; Rojas, Daniel Quinteros</t>
  </si>
  <si>
    <t>“Ordenar la casa”: securitización y producción de irregularidad en el norte de Chile</t>
  </si>
  <si>
    <t>SOCIOLOGIAS</t>
  </si>
  <si>
    <t>borders; migration; control; regularization; production of irregularity</t>
  </si>
  <si>
    <t>Abstract The northern area of Chile is considered a privileged space both for economic exchange and for the transit of people. Indeed, the regions of Arica and Parinacota, Tarapacá and Antofagasta are those that exhibit the highest proportions of foreign population in the entire country. This context, however, is at odds with the border policies that have been implemented during the last decade and that operate from a perspective that conceives certain mobilities as a real danger. This functionality of the border manages to account for its heterogeneous behavior, permissive for capital mobility, but restrictive for human mobility. In this context, this paper focuses on the study of two measures adopted during 2018 that turn out to be particularly significant for the purposes of this study: the imposition of consular visas for people from Haiti and Venezuela and the extraordinary process of migratory regularization . Thus, from the review of official data on visas and deportations, it is concluded that the securitization of migration has built a regime of illegality and irregularity for thousands of foreigners in Chile, particularly in the border area of the Norte Grande.</t>
  </si>
  <si>
    <t>10.1590/15174522-105689</t>
  </si>
  <si>
    <t>Tarqui-Silva L.E.</t>
  </si>
  <si>
    <t>SOCIO-INTEGRATIVE AND INCLUSIVE PROPERTIES OF SPORT DIRECTED THROUGH UNIVERSITY PROJECTS OF LINKAGE IN MIGRATORY POPULATIONS; [PROPIEDADES SOCIO-INTEGRADORAS E INCLUSIVAS DEL DEPORTE ENCAMINADAS MEDIANTE PROYECTOS UNIVERSITARIOS DE VINCULACIÓN EN POBLACIONES MIGRATORIAS]</t>
  </si>
  <si>
    <t>Universidad y Sociedad</t>
  </si>
  <si>
    <t>inclusion; integration; migration; program; sport</t>
  </si>
  <si>
    <t>Migratory phenomena are among some of the main problems that have affected contemporary societies, the American Continent is no exception. Even South America is a region that currently experiences a high rate of people who have had to migrate, immigrate or emigrate. The present experiential hermeneutical research raises the benefits and socio-integrative and inclusive properties of sport, within these population groups, positively affecting the care of mental and physical health, improving social relationships and reducing the tensions generated by mobility processes. For this purpose, an updated bibliographic exploration was carried out within the main databases, identifying a series of proposals that highlight the effec-tiveness of recreational, physical and sports activities. The importance of the creation and development of research and in-terventions is raised, whose emergence is within the academy, through outreach projects, where the migratory phenomenon is approached from a transdisciplinary perspective, and in which, teachers and students, prepare proposals for concrete action against this vulnerable sector, being a fundamental axis, physical and sports activities, with a comprehensive health approach and emotional catharsis, even more, in child and youth populations. © 2022, University of Cienfuegos, Carlos Rafael Rodriguez. All rights reserved.</t>
  </si>
  <si>
    <t>Taylor L.; Meissner F.</t>
  </si>
  <si>
    <t>A Crisis of Opportunity: Market-Making, Big Data, and the Consolidation of Migration as Risk</t>
  </si>
  <si>
    <t>Antipode</t>
  </si>
  <si>
    <t>autonomy of migration; big data; data governance; migration statistics; refugee crisis; solutionism</t>
  </si>
  <si>
    <t>Crisis narratives surrounding Europe’s 2015 migration influx fuelled demands for new ways of tracking, mapping and predicting human mobility. We explore how market opportunities for technology firms and data analytics start-ups created by the EU’s Global Approach to Migration led to solutionistic approaches to compiling and analysing migration statistics. We show that initiatives such as the rebranding of existing platforms and services as migration prediction systems are consolidating policy conceptualisations of migration as risk. Despite the promise of greater granularity, this “big data approach” cannot offer greater certainty about who is on the move and why. Instead such approaches are ill-suited to understanding the complex dynamics of migration and to offering protection to vulnerable people. The marketisation of migration statistics through big data offers a key case for advancing progressive approaches to both migration statistics and global data justice. © 2019 The Authors. Antipode published by John Wiley &amp; Sons Ltd on behalf of Antipode Foundation Ltd.</t>
  </si>
  <si>
    <t>10.1111/anti.12583</t>
  </si>
  <si>
    <t>Terrón-Caro T.; Cárdenas-Rodríguez R.; Ortega-De-mora F.</t>
  </si>
  <si>
    <t>Discourse, Immigration and the Spanish Press: Critical Analysis of the Discourse on the Ceuta and Melilla Border Incident</t>
  </si>
  <si>
    <t>anti-immigration; Ceuta; discourse analysis; hate discourse; Melilla; migration; populism; press; stereotypes</t>
  </si>
  <si>
    <t>The Spanish press relayed the events that unfolded during the migratory incident that occurred in Ceuta and Melilla on 17 May 2021. Considering the media’s key role in social and ideological construction, the purpose of this article is to analyze the informative treatment that the Spanish press gave to this incident, contributing to the study of the image that is shown about the migrant population in the media. For this, the present qualitative study performed a critical analysis, using the Atlas software. Ti 8, of the discourse featuring in the newspaper publications of El País, El Mundo, La Vanguardia and ABC. The results demonstrated the following tendencies: a negative-tone discourse; the invisibility of migrant women; and a “we” vs. “them” narrative. In the light of this reality, we suggest that improvements be made, including a shift in the media’s populist discourse and a greater focus on diasporas. © 2022 by the authors. Licensee MDPI, Basel, Switzerland.</t>
  </si>
  <si>
    <t>10.3390/soc12020056</t>
  </si>
  <si>
    <t>Thayer Correa L.E.</t>
  </si>
  <si>
    <t>Closed Doors and Open Footprints: Undocumented Migration, Precarious Trajectories, and Restrictive Policies in Chile; [Puertas cerradas y huellas abiertas: Migración irregular, trayectorias precarias y políticas restrictivas en Chile]</t>
  </si>
  <si>
    <t>Chile; Irregular migration; Latin American migration; Migratory policies; Precarious legal status</t>
  </si>
  <si>
    <t>This research aims to show the role the Chilean State has played in the production of the administrative irregularity of migrants based on restrictive access policies into the territory. From secondary information, the effect that the imposition of the consular visa requirement has had on the increase in undocumented access is analyzed. The analysis is based on a characterization of the immigration policy developed by the Chilean State between 1992 and 2018. It draws on the theory of recognition and the notion of migratory trajectory. It is concluded that restrictive immigration policy instruments, under favorable context for migratory flows, impact the creation of conditions for institutionalizing precarious conditions for migrants’ trajectories. © 2021, El Colegio de la Frontiera Norte. All rights reserved.</t>
  </si>
  <si>
    <t>10.33679/RMI.V1I1.2270</t>
  </si>
  <si>
    <t>Thayer Correa, L. E.; Duran Migliardi, C.; Correa, S.; Cortes, C.</t>
  </si>
  <si>
    <t>Discourses about migratory policy in the Chilean political field</t>
  </si>
  <si>
    <t>REVISTA DE ESTUDIOS POLITICOS</t>
  </si>
  <si>
    <t>Migration policy; discourses; political field; Chile; conditionality</t>
  </si>
  <si>
    <t>The objective of this research is to identify the discourses of the political and social stakeholders that integrate the political filed, about the migratory policy. To address this aim the study inquires in the elements that compose the discourse, rather than in the position of the different actors in the field. The work is based on the analysis of 55 interviews with government authorities, parliamentarians, think tanks, and social leaders linked to migrant communities. The discourses analysis was organized in the two dimensions of the migration policy, the first referring to the conditions for the admissibility of migrants and the second to the conditionality associated with the access to rights once migrants have been admitted. It concludes with a typology of four discursive models on the he conception of the migration policy in each of these axes.</t>
  </si>
  <si>
    <t>10.18042/cepc/rep.190.04</t>
  </si>
  <si>
    <t>Thayer Correa, Luis Eduardo; Duran Migliardi, Carlos</t>
  </si>
  <si>
    <t>Local Government and Migrants Face to Face: Critical Nodes and Policies for Recognition</t>
  </si>
  <si>
    <t>REVISTA DEL CLAD REFORMA Y DEMOCRACIA</t>
  </si>
  <si>
    <t>Immigration Policy; Protection of Rights; Local Government; Chile</t>
  </si>
  <si>
    <t>The purpose of this research is to identify the critical nodes of the process of incorporation of Latin American and Caribbean migrants to a local context, and identify the strategic priorities to guide migration policies from the municipal government. The proposal is based on the theory of recognition as a complementary but wider approach to the intercultural approach as a basis of local public policies. First, the work discusses the theoretical assumptions that this public policy assumes: human rights as the basis of citizenship, the centrality of the local and democratic governance as an approach. Secondly, it identifies the critical nodes in the process of incorporation of migrants and refugees in four dimensions: health, education, housing and employment. Finally, it is concluded that the implementation of migration policies at the local level, faces challenges in five strategic areas: information on rights, participation and politicization of migrants, education and awareness of the native population and mediation for coexistence. The fieldwork, conducted in Quilicura, Santiago of Chile, is presented as a resource for addressing the challenges for local governments towards the presence of migrants groups in the communal context.</t>
  </si>
  <si>
    <t>Thayer Correa, Luis Eduardo; Stang Alva, Fernanda; Dilla Rodriguez, Charlene</t>
  </si>
  <si>
    <t>Politics of mood. The wakness of local migratory policies in Santiago of Chile</t>
  </si>
  <si>
    <t>Migration; rights; recognition; local governments; migration policy</t>
  </si>
  <si>
    <t>This article analyzes the role of municipalities in the recognition of foreign migrants in the province of Santiago de Chile. From a theoretical argument that links migration, rights and recognition, and critical analysis of literature that has addressed the State's role in its local and subnational levels, in addressing migration issues, systematizes the actions taken by local governments of the province of Santiago during the period 1990-2015. It is concluded that there is a low institutionalization of migration policy, with negative consequences on the orientation of its priorities in the areas of intervention, production and recognition of rights.</t>
  </si>
  <si>
    <t>10.18504/pl2855-007-2020</t>
  </si>
  <si>
    <t>Thayer Correa, Luis Eduardo; Tijoux Merino, Maria Emilia</t>
  </si>
  <si>
    <t>Trajectories of the migrant subject in Chile: Elements for an analysis of racism and precarious status</t>
  </si>
  <si>
    <t>migration in Chile; trajectories; racism; migratory policies; undocumented migration; precarious status; recognition</t>
  </si>
  <si>
    <t>In this study, we develop an analytic model to understand migrant trajectories and test it based on empirical information collected with qualitative instruments in Chilean society. Specifically, we address the articulation between (a) the institutional conditions deriving from the action of the State, (b) the framework of reproduction of the class condition, (c) the structural elements of racism embedded in the national culture, and (d) the strategies deployed by migrant subjects in pursuit of their goals. The specific objective is to develop the characterization of the institutional and structural dimensions to show their impact on migrant trajectories. In doing so, the study allows us to dialogue with the field literature that deals with both the processes of racialization and the institutional production of a precarious migrant subject.</t>
  </si>
  <si>
    <t>e2998</t>
  </si>
  <si>
    <t>10.5565/rev/papers.2998</t>
  </si>
  <si>
    <t>Thiers Quintana, Jenniffer</t>
  </si>
  <si>
    <t>Santiago Mapuche. The indigenous dimension of urban space in Chile</t>
  </si>
  <si>
    <t>urban Mapuche population; indigenous migration; ethnic enclave</t>
  </si>
  <si>
    <t>In the Greater Metropolitan Area of Santiago currently lives a large percentage of the Mapuche indigenous population present in the country; this migrant community is composed by direct descendents of the ancestral indigenous communities located in the south of Chile. The presence of this population has led to the creation of social networks that have been consolidated in that space through ethnic enclaves and also through the generation of territorial capital in the city. Both phenomena have caused that the Government of Chile tries to supply specific intercultural demands for this population living in the indigenous dimension of their capital city, the Santiago Mapuche that urban indigenous construct on a daily basis. In this research we highlight the territorial initiatives and evidences of Santiago Mapuche.</t>
  </si>
  <si>
    <t>Thiers-Quintana J.; Gil-Alonso F.</t>
  </si>
  <si>
    <t>Residential dynamics of latin american immigrants in the barcelona and madrid metropolitan areas: Trend changes during economic expansion, crisis and post-crisis periods; [Dinàmiques residencials de la immigració llatinoamericana a les metròpolis de barcelona i madrid: Canvis de tendències durant l’expansió, la crisi i la postcrisi]; [Dynamique résidentielle de l’immigration latino-américaine dans les régions urbaines de barcelone et madrid: évolution des tendances au cours des périodes d’expansion économique, de crise et de post-crise]; [Dinámicas residenciales de la inmigración latinoamericana en las metrópolis de barcelona y madrid: Cambios de tendencias durante la expansión, la crisis y la poscrisis]</t>
  </si>
  <si>
    <t>Documents d'Analisi Geografica</t>
  </si>
  <si>
    <t>Barcelona; Latin American population; Madrid; Metropolitan areas; Migration; Residential patterns; Spain</t>
  </si>
  <si>
    <t>This article examines the geographical settlement and migration patterns of the Latin American-born population in the functional urban areas of Barcelona and Madrid, Spain, from 2000 to 2017. The municipalities of these areas have been grouped into several rings according to their distance to the central cities. Using data from local population registers (Padrón Continuo) and statistics on residential variations published by the Spanish National Statistics Institute (INE), the present research studies how these phenomena respond to economic cycles. For this reason, three periods of varying duration are studied: economic expansion (2000–2008), crisis (2009–2014) and post-crisis (2015–2017). The results show that the suburbanization of Latinos in both urban areas during the economic growth phase was halted by the crisis but reactivated during the post-crisis stage. Nevertheless, in recent years the Latino population has become increas ingly concentrated in both central cities, as immigration flows from Latin American countries have reactivated once again. © 2020, Universitat Autonoma de Barcelona and Universitat de Girona. All rights reserved.</t>
  </si>
  <si>
    <t>10.5565/rev/dag.584</t>
  </si>
  <si>
    <t>Tijoux Merino, María Emilia; Palominos Mandiola, Simón</t>
  </si>
  <si>
    <t>Aproximaciones teóricas para el estudio de procesos de racialización y sexualización en los fenómenos migratorios de Chile</t>
  </si>
  <si>
    <t>racialisation; sexualisation; race; gender; migration</t>
  </si>
  <si>
    <t>The goal of this paper is to provide a conceptual discussion that will open the way to the use of the notions of racialisation and sexualisation in the study of migratory phenomena that are taking place in Chilean society, starting fron theoretical discussions that gather contributions of social sciences and humanities, the definitions of racialisation and sexualisation emphasises the creation and identification of power relations that construct categories of race and of gender which are inscribed in the bodies of immigrants. This paper uses this theoretical foundation to explore the development of migration research in Chile. The document characterises three major periods in Chile’s migratory history where it is possible to find specific mechanisms of racialisation and sexualisation that structure chilean society. Finally, the paper identifies omissions and proposals in researches of migration in Chile, related to processes of racialisation and sexualisation.</t>
  </si>
  <si>
    <t>Tijoux Merino, Maria Emilia; Veloso Luarte, Victor; Ambiado Cortes, Constanza</t>
  </si>
  <si>
    <t>Migrant labor: accumulation by dispossession in the present-day Chile</t>
  </si>
  <si>
    <t>Migrations; labor; racism; dispossession</t>
  </si>
  <si>
    <t>In a context of globalized migrant movements, Chile, since the beginning of the democratic transition and the deployment of neoliberalism in the 1990s, has become a country of immigration, attracting people from bordering countries and, later, from the Caribbean, who seek to work in order to improve their living conditions. Forced to migrate, people face job insecurity, uncertainty and security-based migration policies. They are also exposed to discrimination from nationals who point to them as those who steal work, generalizing migrant labor as a threat alien to the national working class. This article reflects on the migration/labor intersection from the perspective of the Critique of Political Economy, arguing as a hypothesis that migrant labor can be understood from the racist articulation of accumulation by dispossession. Methodologically, the results of a qualitative research on the discourse of Chileans regarding the construction of the migrant subject that emerges in representations of migration and migrants, and mainly, regarding their incorporation to the Chilean labor market, were analyzed. In this framework, the article addresses the representations of migrant labor and theft of labor to understand dispossession based on the racist construction of the migrant worker, which naturalizes the devaluation of wages and the extension of working hours, in order to reflect on racism as a system of domination intimately intertwined with the accumulation of capital.</t>
  </si>
  <si>
    <t>Tijoux, Maria Emilia; Ambiado, Constanza</t>
  </si>
  <si>
    <t>Being a Haitian patient in Chile and experiencing racism in centers of the public health network</t>
  </si>
  <si>
    <t>INTERDISCIPLINARIA</t>
  </si>
  <si>
    <t>racism; race; everyday racism; migration; Haitian patients; health</t>
  </si>
  <si>
    <t>The present work is inscribed within the field of contemporary migration studies in Chile, a line of investigation initiated during the nineties. At the time, various people from South America and the Caribbean arrived to the country, which was undergoing a democratic transition and presented itself as a successful economic model. Twenty-five years later, migrants from Haiti began arriving. Despite not constituting the largest group of migrants, they have become one of the most targeted by Chilean society, the media, the political class and government authorities. Since the election of Sebastian Pinera in 2018, certain measures were taken that signaled a policy aimed towards reducing Haitian presence in the country: namely, a humanitarian return plan exclusively for Haitians and the creation of a consular visa as the main permit in order to enter the country. During the COVID-19 pandemic, they were singled out as disobe-dient to the measures imposed by the state of emergency and the sanitary restrictions put in place. Chilean society agrees with restric-tive norms and policies and looks with suspi-cion at a migrant group that it perceives as different. Chile, a country colonized in the name of humanist and republican values, which upholds cultural homogeneity, does not look favorably on the arrival of migrants from elsewhere in the region, and even less so on a migrant group whose skin color has been negatively evaluated, to the point of linking it to physical, cultural and psychological char-acteristics. This work makes brief references of the context of migrating to Chile, of doing so from Haiti, and of some elements of Haiti's history that make up this particular migratory situation. The proposed objective is to identify racism present within the interactions between public health workers and Haitian patients who approach them for help or treatment in the city of Santiago. This work stems from a larger project that analyzed the sociability and cultural skills of different public health profes-sionals interacting with migrants. Employing a qualitative methodology, semi-structured interviews were conducted with professionals from the public health service and focus groups were organized with Haitian patients. The frame of reference focuses on racism as a system and as a social relationship, on racial discrimination and its effects on people. The words of patients and professionals are analyzed and conclusions are drawn in regards to racism and registered violence as forms of sociability, the latter understood as the way in which two actors interact when one of them is in a position of superiority. These processes need to be reflected upon in order to account for the damages caused to Haitian men, women and children seeking care in the public health network. Considering the importance of the right to migrate in current times and the multiple obstacles that impede it, Haitian life in Chile emerges as a problem when it comes to being attended, cared for or assisted to by health professionals, an issue that is linked to the fact that contemporary migrations have been repeatedly characterized as a problem and not as a social phenomenon that needs to be seriously analyzed with academic accuracy. Racist criticism emerges violently, offending and harming Haitian migrants who, in order to avoid it, sometimes prefer not to go public health centers, to look for alternatives when dealing with the ailments that afflict them, or straightforwardly abandon the possibility of being attended at all. Finally, some guidelines are advanced which may help to overcome these situations by training professionals in order to improve communications between them and Haitian migrants.</t>
  </si>
  <si>
    <t>10.16888/interd.2023.40.1.22</t>
  </si>
  <si>
    <t>Tip L.K.; González R.; Brown R.; De Tezanos-Pinto P.; Saavedra P.; Sagredo V.; Zagefka H.; Celeste L.</t>
  </si>
  <si>
    <t>Effects of ingroup norms on domain-specific acculturation preferences: Experimental evidence from two cultural contexts</t>
  </si>
  <si>
    <t>Acculturation; Contact; Domain specificity; Ingroup norms; Investment</t>
  </si>
  <si>
    <t>Two experiments investigated effects of perceived ingroup acculturation norms. Majority members read an article about their peers having specific acculturation preferences for minority members in public and private domains, which was the experimental manipulation. Dependent variables were liking for ingroup members, majority members' own preference for culture maintenance relative to their preference for culture adoption for public and private domains, and their investment in cultural maintenance relative to their investment in contact with the minority. In England (N=237) we focused on attitudes towards Muslims, while in Chile (N=291) the focus was on attitudes towards the indigenous Mapuche. Results reflect the political climates of the two countries: Chileans showed more reactance against their peers demanding assimilation from minority members than English people did - by increasing their preference for maintenance relative to adoption. Yet, in both countries, peers who demanded assimilation were liked the least. In England, responses on public acculturation preferences and acculturative investment were the same, whereas they differed in Chile. Overall, Chileans valued culture maintenance of Mapuche more than culture adoption for both public and private domains. For English people however, this was only the case for the private domain, while for the public domain they had opposite overall preferences. Finally, regardless of country, the more people preferred culture maintenance relative to adoption in the public domain, the higher their support for multiculturalism was too, highlighting the importance of investigating relative acculturation preferences. © 2015 Elsevier Ltd. All rights reserved.</t>
  </si>
  <si>
    <t>10.1016/j.ijintrel.2015.03.027</t>
  </si>
  <si>
    <t>Tiznado-Aitken I.; Vecchio G.; Guzman L.A.; Arellana J.; Humberto M.; Vasconcellos E.; Muñoz J.C.</t>
  </si>
  <si>
    <t>Unequal periurban mobility: Travel patterns, modal choices and urban core dependence in Latin America</t>
  </si>
  <si>
    <t>Accessibility; Latin America; Periurbanization; Urban inequality; Urban mobility</t>
  </si>
  <si>
    <t>Latin America is a highly urbanized region characterized by remarkable inequality levels, also reflected in an uneven distribution of opportunities, making socio-economic segregation quite visible. Since the individual possibility to travel and therefore access to urban opportunities strongly depends on socio-economic status and the distances to overcome, highly unequal patterns of mobility and accessibility emerge. The continuous expansion of Latin American cities originates specific mobility-related inequalities visible in periurban areas, which tend to lack some key urban opportunities and public transport services usually available in cities. Due to established and new patterns of territorial segregation, these areas may generate new forms of marginality in relation to mobility, posing challenges for public action and territorial governance. Our paper considers if and how periurban areas experience different forms of mobility-related inequalities in three Latin American metropolises in Brazil, Chile, and Colombia (São Paulo, Santiago, and Bogotá, respectively). We do so by examining the differences among urban core and periurban zones based on four elements: socio-demographic features, access to the public transport system, spatial continuity, and functional dependence. Our analysis shows that the three metropolitan regions have different structures: while Bogotá and Santiago appear to be more dependent on the urban core, São Paulo shows more autonomous and self-sufficient periurban zones. The analysis also highlights different forms of peripherality, defined by differentiated mobility patterns and modal choices that suggest that city-specific lines for public action might be needed. © 2023 Elsevier Ltd</t>
  </si>
  <si>
    <t>10.1016/j.habitatint.2023.102752</t>
  </si>
  <si>
    <t>Tjaden J.; Dunsch F.A.</t>
  </si>
  <si>
    <t>The effect of peer-to-peer risk information on potential migrants – Evidence from a randomized controlled trial in Senegal</t>
  </si>
  <si>
    <t>Communication for development; Decision-making; Information; Migration; Peer-to-peer; Randomized controlled trial</t>
  </si>
  <si>
    <t>In response to mounting evidence on the dangers of irregular migration from Africa to Europe, the number of information campaigns which aim to raise awareness about the potential risks has rapidly increased. Governments, international organizations and civil society organizations implement a variety of campaigns to counter the spread of misinformation accelerated by smuggling and trafficking networks. The evidence on the effects of such information interventions on potential migrants remains limited and largely anecdotal. More generally, the role of risk perceptions in the decision-making process of potential irregular migrants is rarely explicitly tested, despite the fact that the concept of risk pervades conventional migration models, particularly in the field of economics. We address this gap by assessing the effects of a peer-to-peer information intervention on the perceptions, knowledge and intentions of potential migrants in Dakar, Senegal, using a randomized controlled trial design. The results show that – three months after the intervention – peer-to-peer information events increase potential migrants’ subjective information levels, raise risk awareness, and reduce intentions to migrate irregularly. We find no substantial effects on factual migration knowledge. We discuss how the effects may be driven by the trust and identification-enhancing nature of peer-to-peer communication. © 2021 Elsevier Ltd</t>
  </si>
  <si>
    <t>10.1016/j.worlddev.2021.105488</t>
  </si>
  <si>
    <t>Todaro R.; Arriagada I.</t>
  </si>
  <si>
    <t>Global care chains</t>
  </si>
  <si>
    <t>Companion to Women's and Gender Studies</t>
  </si>
  <si>
    <t>Care; Gender; Inequality; Intersectionality; Migration; Work</t>
  </si>
  <si>
    <t>This chapter on "Global Care Chains" includes a synthesis of recent debates on this subject that links care, migration and globalization. It highlights the three central concerns permeating the literature: the unfair gendered distribution of care work that is mostly imposed on women, discrimination against women in the labor market, and the third axis of discrimination against women: immigration status. It follows with a critical analysis of care and care work, stressing its unequal distribution within homes and in the labor market. We then take up issues of migration, the feminization of migration, and the importance of the financial flows generated to the migratory country of origin. An intersectional approach is used, revealing the intersection of gender, class, ethnicity, country of origin and race in the discrimination of care workers. It concludes with recommendations for further development in this area of inquiry. © 2020 John Wiley &amp; Sons Ltd.</t>
  </si>
  <si>
    <t>10.1002/9781119315063.ch18</t>
  </si>
  <si>
    <t>Toledo R.P.</t>
  </si>
  <si>
    <t>Invisible Geographies: A Study of Migration and Male Homoeroticism in Tijuana through Spinozist Affects</t>
  </si>
  <si>
    <t>affects; gay men; male homoeroticism; migration; Spinoza; Tijuana</t>
  </si>
  <si>
    <t>Affect-based studies consider that peoples' lives and behaviors cannot be entirely grasped and understood by rational choice models. The main goal of this article is to understand how factors like sexuality and migration affect the relations between people and spaces. Following Spinoza's Ethics and subsequent interpretations, the article considers that bodies are influenced by previous interactions and act accordingly, and that space is a relational mode of substance perceived through attributes and modes affecting individuals and articulating the relationship of space, sexuality, and migration. This research studies same-sex-attracted men who moved to Tijuana, Mexico. Results show that affects (expressed through actions and passions) inform people's relations to space based on their valorization of life events and expectations; that the meanings of space are personally constructed, relational, volatile, and invisible to others; and that most interviewees didn't feel comfortable avowing to the gay identity but identified themselves as such, since, to some extent, gayness can escape from the moral stigma of male-male interaction in Latin America.  © The Author(s), 2023.</t>
  </si>
  <si>
    <t>10.1017/lar.2023.6</t>
  </si>
  <si>
    <t>Torralbo H.G.</t>
  </si>
  <si>
    <t>“Work of kinship” done by families in Santiago de Chile; [El ‘trabajo de parentesco’ que realizan las familias en Santiago de Chile]</t>
  </si>
  <si>
    <t>Revista de Antropologia Social</t>
  </si>
  <si>
    <t>Care; Chile; Family links; Kinship work</t>
  </si>
  <si>
    <t>This paper reports the progress achieved in an anthropological investigation based on which there is now a more in depth understanding of some dimensions of the “kinship work” carried out by families in Chile. The main objective is to analyze the work of maintaining family links performed primarily by women within families and show how this work reproduces gender inequalities within them. On the basis of a longitudinal methodology based on semi-structured interviews, it is concluded that the work of maintaining family links performed by women is crucial but goes unnoticed because kinship obligations are seen as a naturally being part of women’s role in the family. © 2016, Universidad Complutense de Madrid. All rights reserved.</t>
  </si>
  <si>
    <t>10.5209/rev_RASO.2016.v25.n1.52629</t>
  </si>
  <si>
    <t>Torralbo, Herminia Gonzalvez; Guizardi, Menara; Contreras, Eleonora Lopez</t>
  </si>
  <si>
    <t>Mobility, Violence and Care: The Experience of Bolivian Women in the Chilean Territories of the Andean Triple-border</t>
  </si>
  <si>
    <t>Bolivian migration; women; care; violence; Andean Triple; border-Area</t>
  </si>
  <si>
    <t>The article reviews the social sciences' bibliography on the migrant experience of Bolivian women in the Chilean territories bordering the Andean Triple-border-Area (between Bolivia, Chile and Peru), emphasizing the studies carried out in the Chilean Region of Arica and Parinacota. We start by situating and describing the Chilean territory of the Andean Triple-border-Area. We also discuss how the processes of historical formation of its borders have played a central role in the institutionalization of patterns of gender violence. Then, we discuss the Bolivian women's mobilities and the economic flows that characterize them. We also synthesized the studies on the Bolivian Aymara presence in the agricultural valleys of the city of Arica, the findings of the studies on the experience of gender violence by the Aymara migrants, and on the transnational and cross-border chains of care. In the final section, we weave our conclusions on these studies.</t>
  </si>
  <si>
    <t>Torrent, Juan Carlos Rodriguez; Barbieri, Nicolas Gissi</t>
  </si>
  <si>
    <t>BETWEEN WAITING AND HOPE: TEMPORAL DIMENSIONS OF VENEZUELAN MIGRATION IN CHILE (2020-2022)</t>
  </si>
  <si>
    <t>Venezuelan immigrants; waiting; hope; settling down; future</t>
  </si>
  <si>
    <t>This article reflects from the dimensions of waiting and hope on the Venezuelan population residing in Chile, highlighting the awareness of the possibilities in relation to the future in a spacetime context of uncertainty. From both structural and subjective processes, since migrants are bearers of meaning and producers of signifiers about their own country, Chile and the world, aware of themselves in the face of a society that does not give them clear recognition during the years 2020 to 2022, after being well received in a pre-pandemic context. Based on 30 in-depth interviews with men and women who have been residing in Chile for more than 5 years, we analytically propose that in waiting and hoping one can observe the complex, changing and unconsolidated nature of rootedness within a social and economic regime. based on asymmetries, so Chile can be a destination, but also only a transit country due to the weakening of future possibilities.</t>
  </si>
  <si>
    <t>10.29092/uacm.v20i51.971</t>
  </si>
  <si>
    <t>Torres G, Osvaldo; Garcés H, Alejandro</t>
  </si>
  <si>
    <t>Representaciones sociales de migrantes peruanos sobre su proceso de integración en la ciudad de Santiago de Chile</t>
  </si>
  <si>
    <t>Peruvian migration; public services; social representations; discrimination</t>
  </si>
  <si>
    <t>This article means to present the results of a study developed between2011 and 2012, referring to the peruvian migrants social representations and perceptions of their integration process in Santiago, particularly those regarding the access to health, education and housing public services. Starting from a qualitative methodology, the seservices are brought to the attention of the peruvian migrants discourses, exposing the discrimination upon them as a product of national origin, as well as other forms of exclusion associated to their coming from a popular sector, and portraying the city of Santiago as a recipient scenario of international migratory flows.</t>
  </si>
  <si>
    <t>Torres Matus L.</t>
  </si>
  <si>
    <t>Chilean engagement state policy, chilean emigration and their demands; [Politícas de vinculación del estado chileno con la emigración chilena y sus demandas]</t>
  </si>
  <si>
    <t>Estudios Migratorios Latinamericanos</t>
  </si>
  <si>
    <t>Chilean emigration; Diaspora engagement policy; Voting rights</t>
  </si>
  <si>
    <t>This article is an exploratory proposal seeking processes linking the Chilean State Chilean immigrant population under different historical processes; military dictatorship and democracy. Analyzes Gamlens concept of concept of diaspora engagement policies and how could be analyze on the Chilean case; also features the model of citizenship (if it is based on a sort of ethnic discourse or is it civil) and also whether it can be classified as an operator State as exploitative, generous or binding one. In the case of the demands of organizations of Chileans abroad and some politicians in the country they have taken the vote from abroad as a safe milestone and demand a return policy.</t>
  </si>
  <si>
    <t>78-79</t>
  </si>
  <si>
    <t>Torres-Vallejos J.; Casas F.; Bilbao M.; López V.; Caqueo-Urízar A.; Flores J.; Squicciarini A.M.; Sánchez P.</t>
  </si>
  <si>
    <t>Subjective Well-Being of Children and Adolescents from Ethnic Minorities in Chile</t>
  </si>
  <si>
    <t>Child Indicators Research</t>
  </si>
  <si>
    <t>Adolescents; Children; Chile; Indigenous; Overall life satisfaction; Subjective well-being</t>
  </si>
  <si>
    <t>In many countries, Indigenous populations have reported lower levels of subjective well-being (SWB) compared to non-Indigenous groups. However, research on this topic is still scarce in Latin America, particularly Chile, where Indigenous people from nine recognized ethnic minority groups represent 9.5% of the population. This study analyzes the SWB of children and adolescents pertaining to Indigenous ethnic minorities living in Chile. Participants were 44,451 students from 430 schools with low socioeconomic status (20.18% were from ethnic minorities) enrolled in fifth to eighth grade (M age = 12.47, SD = 1.41) who answered the Brief Multidimensional Student’s Life Satisfaction Scale and a single item on overall life satisfaction, which have been used as subjective well-being indicators. Findings showed that non-Indigenous adolescents reported higher subjective well-being, followed by the Mapuches and Aymara groups, with the other Indigenous group reporting the lowest scores. Well-being profiles were similar between the Mapuche and non-Indigenous groups and significantly different from the profiles of the Aymara and other Indigenous groups. We discuss these cross-cultural differences and their implications for policy and intervention. © 2022, The Author(s), under exclusive licence to Springer Nature B.V.</t>
  </si>
  <si>
    <t>10.1007/s12187-022-09955-z</t>
  </si>
  <si>
    <t>Torres, Andres Felipe Castro</t>
  </si>
  <si>
    <t>Analysis of Latin American Fertility in Terms of Probable Social Classes</t>
  </si>
  <si>
    <t>EUROPEAN JOURNAL OF POPULATION-REVUE EUROPEENNE DE DEMOGRAPHIE</t>
  </si>
  <si>
    <t>Fertility; Social class; Latin America</t>
  </si>
  <si>
    <t>Theories of demographic change have not paid enough attention to how factors associated with fertility decline play different roles across social classes that are defined multidimensionally. I use a multidimensional definition of social class along with information on the reproductive histories of women born between 1920 and 1965 in six Latin American countries to show the following: the enduring connection between social stratification and fertility differentials, the concomitance of diverse fertility decline trajectories by class, and the role of within- and between-class social distances in promoting/preventing ideational change towards the acceptance of lower fertility. These results enable me to revisit the scope of theories of fertility change and to provide an explanatory narrative centred on empirically constructed social classes (probable social classes) and the macro- and micro-level conditions that influenced their life courses. I use 21 census samples collected between 1970 and 2005 in Bolivia, Brazil, Chile, Colombia, Mexico, and Paraguay.</t>
  </si>
  <si>
    <t>10.1007/s10680-020-09569-7</t>
  </si>
  <si>
    <t>Torres, Elizabeth Zenteno; Hernandez, Paola Contreras; Cristoffanini, Macarena Trujillo</t>
  </si>
  <si>
    <t>HOUSING STRATEGIES OF VENEZUELAN WOMEN IN CHILE. OBSTACLES, CHALLENGES AND RESISTANCE</t>
  </si>
  <si>
    <t>ARBOR-CIENCIA PENSAMIENTO Y CULTURA</t>
  </si>
  <si>
    <t>Housing; migration; women; agency strategies</t>
  </si>
  <si>
    <t>The migratory phenomenon in Chile has presented changing patterns in recent years. Mainly focused on Venezuelan migration, this article aims to understand the residential search and settlement process of Venezuelan women in Chile. To do this, qualitative interviews were conducted in Valparaiso and Vina del Mar, through which the main difficulties they must undergo to access housing, which transform into intertwined processes of racialization and feminization, were collected. However, the existence of multiple agency strategies used to obtain a place to live and take care of their families was also demonstrated. Thus, and from an intersectional approach that includes urban, racial, and gender studies, it is concluded that, although migrant Venezuelan women must face contexts of discrimination and segregation in the search for housing, they also establish collaborative mechanisms that allow them access, such as bonding, cohabitation, shared management, and networking.</t>
  </si>
  <si>
    <t>a697</t>
  </si>
  <si>
    <t>10.3989/arbor.2022.807011</t>
  </si>
  <si>
    <t>Torres, Rebecca M.; Carte, Lindsey</t>
  </si>
  <si>
    <t>Migration and Development? The Gendered Costs of Migration on Mexico's Rural Left Behind</t>
  </si>
  <si>
    <t>GEOGRAPHICAL REVIEW</t>
  </si>
  <si>
    <t>gender; left behind; Mexico; migration; neoliberal</t>
  </si>
  <si>
    <t>Governments, civil society, and policymakers assert the potential of international migration to foster development and alleviate poverty. Often such claims are rooted in macroscale geopolitical analyses of migration and development, which mask the localized, uneven, and embodied ways family members left behind bear the costs and subsidize the U.S./Mexico (inter)national integration project. Informed by feminist geopolitics, this article demonstrates how the left behind disproportionately bear the hidden costs of neoliberal restructuring and migration. We draw upon Mexican Migration Project (MMP) ethnosurvey data to frame the narratives of migrant family members left behind. Narratives were constructed through in-depth interviews conducted in rural Veracruz. We conclude that in the absence of geographically specific examinations of the hidden costs associated with neoliberal development and migration it is possible that migration for development programs and policies may exacerbate inequities that will perpetuate migration and further weaken Mexican origin communities.</t>
  </si>
  <si>
    <t>10.1111/j.1931-0846.2016.12182.x</t>
  </si>
  <si>
    <t>Torri M.C.</t>
  </si>
  <si>
    <t>Exploring the interlinkages between informal entrepreneurship, traditional medicine and urban development: A case study from araucania, Chile</t>
  </si>
  <si>
    <t>Chile: Environmental, Political and Social Issues</t>
  </si>
  <si>
    <t>Chile; Gender; Indigenous knowledge; Informal sector; Small enterprises</t>
  </si>
  <si>
    <t>In the last two decades, there has been an increase in funds from governments and international development agencies to create micro-enterprises formed by women. Despite the fact that medicinal plants have been used since immemorial times both in traditional medicine and the herbal industry, there is still, up to present, a limited amount of literature that analyzes the informal economy centred on medicinal plants, especially on women. This study explores the link between women-based businesses in herbal products and sustainable development in urban areas of Chile (Araucania region), paying particular attention to indigenous Mapuche. This chapter also gives an understanding of the key role that women's entrepreneurship, centred upon the herbal sector, can play in the transmission and use of traditional knowledge among Mapuche communities. © 2012 Nova Science Publishers, Inc. All rights reserved.</t>
  </si>
  <si>
    <t>Illness and Healing in Urban Areas in Chile: Between Tradition and Cultural Adaptation</t>
  </si>
  <si>
    <t>Oxford Development Studies</t>
  </si>
  <si>
    <t>The Mapuche communities living in the urban areas of Chile have undergone radical cultural change as a result of modernization and urbanization. This article analyzes the influence of these changes on the ideas and practices of traditional Mapuche healers (machi) and patients in Temuco in Chile, and examines any changes or adaptations in perceptions of healing practices and rituals. The paper shows how an encounter with another culture, such as the dominant Chilean one, can under some conditions reinforce indigenous medicine by updating its practices and pushing it towards increased specialization in psychotherapeutic treatments. © 2011 Copyright Oxford Department of International Development.</t>
  </si>
  <si>
    <t>10.1080/13600818.2011.620084</t>
  </si>
  <si>
    <t>Torri M.C.; Laplante J.</t>
  </si>
  <si>
    <t>Traditional medicine and biomedicine among mapuche communities in temuco, chile: New forms of medical pluralism in health care delivery</t>
  </si>
  <si>
    <t>Anthropologica</t>
  </si>
  <si>
    <t>Chile; Mapuche; Traditional medicine; Urban areas</t>
  </si>
  <si>
    <t>Within Mapuche indigenous communities in Temuco, Araucania Region, Chile, traditional healers (machi) and their healing practices are part of everyday life for many people. This article shows that there is a clear tendency for Mapuche people to combine different therapeutic approaches to solve their health problems. We argue, however, that this behaviour is not explained by a crisis of identity among the urban Mapuche community in which the person has lost his or her own indigenous cultural scheme but has not fully assimilated the Westernized model. This article shows that this form of therapeutic pluralism by urban Mapuche is motivated by the adoption of a holistic perception of health and of plural medicinal practices among these indigenous communities.</t>
  </si>
  <si>
    <t>Torrico-Avila, Elizabeth; Gonzalez-Gonzalez, Jaime</t>
  </si>
  <si>
    <t>Discourse, opinion and episteme. Immigrants and COVID-19 in the chilean press</t>
  </si>
  <si>
    <t>Discourse; episteme; press media; migration; COVID-19; discrimination</t>
  </si>
  <si>
    <t>In the current democratic societies, the media, known as the fourth power and that are generally in charge of the local elites, have achieved a crucial role in the naturalization of discourses in the community having the capacity to even influence the public opinion in political, social, religious and economic areas, among others. Being the problem of study the influence that the expression of a certain type of discourse has over its receivers, the goal of this article is to reflect about the link between the discourse, the public opinion and the press epistemology regarding the immigration in Chile during COVID-19 times. The results from the examination of eleven newspapers employing a Critical Discourse Analysis approach inform us that, on the one side, the actors such as authorities are nominalized, whereas the foreigners are assimilated in a group or invisibilized altogether. On the other hand, the themes that emerge from the data analysis are poverty, vulnerability and discrimination. This study aims at problematizing the discourses that come from the press from a critical perspective in order to contribute to the dialogical construction of the other from an objective point of view away from preconceived and stigmatized views spread by the media.</t>
  </si>
  <si>
    <t>10.17163/uni.n34.2021.09</t>
  </si>
  <si>
    <t>Trabalón, Carina</t>
  </si>
  <si>
    <t>Migración «extrarregional» y fronteras temporales en el contexto sudamericano reciente. Migración haitiana e «intermitencia legal» en Argentina</t>
  </si>
  <si>
    <t>and African “extrarregional” migration; Haitian migration; temporary borders; illegalization; control policies; Argentina; South America</t>
  </si>
  <si>
    <t>Abstract: This article aims to analyze the tensions and reconfigurations that operate between illegalization, temporary borders and daily life of Haitians in Argentina, in connection with larger regional processes linked to the political government of Caribbean and African “extrarregional” migration in the recent South American context. I argue that the control over the modes of “permanence” of migrants of Haitian origin in Argentina represents a paradigmatic case that allows exposing regional trends in progress during the 2010s, based on the political exclusion of the refuge, the existence of differential criteria of residence, the reinforcement of illegalization mechanisms and the multiplication of temporary borders. In addition, I maintain that one of the main manifestations of these political processes is the “legal intermittency” referring to the conflictive and changing dynamics that is established between legal-political practices, temporary experiences of control and negotiation strategies of the subjects. The article adopts a qualitative methodological approach that includes, firstly, a documentary analysis of regulations and policies implemented at the regional level during the 2010s on Caribbean and African migration in Argentina, Brazil, Chile and Ecuador. Second, a participant observation and interviews conducted with migrants of Haitian origin between 2017 and 2019 in two cities in Argentina. I conclude that the link between legal borders and temporary borders constitutes a key aspect to understand both the political-administrative realities of the “new” migrations in the South American context, as well as the historically situated ways in which “configurations of illegality” permeate the projects of life and forms of resistance of specific national and social groups.</t>
  </si>
  <si>
    <t>90</t>
  </si>
  <si>
    <t>10.18800/derechopucp.202301.007</t>
  </si>
  <si>
    <t>Trabalón, Carina I.</t>
  </si>
  <si>
    <t>Política de visado y regulación de las fronteras. Un análisis desde la movilidad de haitianos en Sudamérica</t>
  </si>
  <si>
    <t>South America; Haitian migration; visa; borders; security</t>
  </si>
  <si>
    <t>Abstract: This paper seeks to address the nexus mobility, borders and security in relation to the recent historical journey of Haitian migration in South America, highlighting for this the role played by states in the processes of securitization, illegalization and criminalization of international migration. The objectives are aimed at deepening the study of the emergency conditions, practical effects and fundamentals through which the visa policy is implemented in Brazil, Chile and, with special emphasis, in the Argentine national framework. In this sense, a qualitative methodology was adopted that included the analysis of documentary statistical reports, regulations and journalistic notes that refer, in a localized manner, to the visa policy addressed to persons of Haitian nationality in each of the mentioned countries. The study reveals how certain national groups are incorporated into the security agenda through selective state practices that, under similar security and humanitarian control arguments, position the visa as a fundamental mechanism for the regulation of migratory movements across borders.</t>
  </si>
  <si>
    <t>10.32735/s0718-6568/2018-n51-1354</t>
  </si>
  <si>
    <t>Trimano, Luciana; de Abrantes, Lucia; Greene, Ricardo</t>
  </si>
  <si>
    <t>Managing the pandemic across scales: centre-periphery tensions in Argentina</t>
  </si>
  <si>
    <t>centre-periphery; COVID-19; reverse migration; inequality; scale</t>
  </si>
  <si>
    <t>The COVID-19 pandemic has triggered a series of transformations at the social, political and cultural levels that came to strain Argentina's territorial arrangements. Based on ethnographic work conducted in two case studies of the national tourist corridor, this article explores how the health crisis in its initial stage -as a strategic analytical moment- and the uncertainty to which it led, updated historical discussions on the relations between the capital and the peripheries. It analyzes how various elements associated with the metropolitan 'coronaexodus' generated frictions, synergies and practices of resistance in non-metropolitan territories, which problematized the fragility of a federal political-territorial model whose virtues appear in theory but which, in practice, are hindered by political-spatial borders and suffocated by the concentration of resources and relations of domination. In particular, we detected how traditional territorial imaginaries were re-signified, with the big city taking on a threatening face and the non-metropolitan taking on the appearance of an immunological sanctuary. This situation, we have concluded, unleashed migratory flows which, in turn, triggered the implementation of national and local policies that combined punitive and disciplinary measures, coupling and decoupling to address or prevent the health emergency.</t>
  </si>
  <si>
    <t>10.15446/bitacora.v32n2.99215</t>
  </si>
  <si>
    <t>True J.</t>
  </si>
  <si>
    <t>The Political Economy of Violence against Women</t>
  </si>
  <si>
    <t>Conflict; Disaster; Globalization; Migration; Political economy; Productive resources; Resources; Trade; Violence</t>
  </si>
  <si>
    <t>This book addresses a major problem in all countries, affecting women in every socioeconomic group and at every life stage. Nowhere in the world do women share equal social and economic rights with men or the same access as men to productive resources. Economic globalization and development are creating new challenges for women's rights, as well as some new opportunities for advancing women's economic independence and gender equality. Yet, when women have access to productive resources and they enjoy social and economic rights, they are less vulnerable to violence across all societies. This book develops a feminist political economy approach to identify the linkages between different forms of violence against women and macrostructural processes in strategic local and global sites-from the household to the transnational level. In doing so, it seeks to account for the globally increasing scale and brutality of violence against women. These sites include economic restructuring and men's reaction to the loss of secure employment, the abusive exploitation associated with the transnational migration of women workers, the growth of a sex trade around the creation of free trade zones, the spike in violence against women in financial liberalization and crises, the scourge of sexual violence in armed conflict, postcrisis reconstruction efforts, and the deleterious gendered impacts of natural disasters. Examples are drawn from South Africa, Kenya, the Democratic Republic of the Congo, China, Ciudad Juarez in Mexico, the Pacific Islands, Argentina, Eastern Europe, Central Asia, Haiti, Sri Lanka, Indonesia, New Zealand, Ireland, the United Kingdom, the United States, and Iceland. © Oxford University Press 2012.</t>
  </si>
  <si>
    <t>10.1093/acprof:oso/9780199755929.001.0001</t>
  </si>
  <si>
    <t>Tseng A.</t>
  </si>
  <si>
    <t>Nativized exoticism in “el país de todas las sangres”</t>
  </si>
  <si>
    <t>Asian; discourse; Identity; Latin America; migration; nation</t>
  </si>
  <si>
    <t>In this paper I develop a perspective of nativized exoticism to describe how discourses around Peruvian Chineseness as both assimilated and exotic promote a multicultural mestizo national narrative that nevertheless overlooks questions of representation and the subject gaze. Using a qualitative approach, my argument connects micro-level analysis of spoken and mediated discourse to the broader contemporary and sociohistorical context. Findings extend existing work on processes of racialization in diaspora and the image of Asians as “perpetual foreigners” as well as imagined societies (Anderson, B. 2006. Imagined Communities: Reflections on the Origin and Spread of Nationalism. London: Verso) and myths of equalizing mestizaje in Latin America. Findings further connect cotidian discourses to broader issues of appropriation and materiality within the national identity narrative. © 2023 Informa UK Limited, trading as Taylor &amp; Francis Group.</t>
  </si>
  <si>
    <t>10.1080/01419870.2023.2243306</t>
  </si>
  <si>
    <t>Tung T.A.; Knudson K.J.</t>
  </si>
  <si>
    <t>Identifying locals, migrants, and captives in the Wari Heartland: A bioarchaeological and biogeochemical study of human remains from Conchopata, Peru</t>
  </si>
  <si>
    <t>Andes; Huari; Migration; Radiogenic strontium isotopes; Residential mobility; Sacrifice; Trophy heads; Violence; Wari</t>
  </si>
  <si>
    <t>The site of Conchopata in the central Peruvian Andes was the secondary center in the heartland of the Wari Empire (AD 600-1000), and in this study we examine whether this urban locale was populated by locals, voluntary migrants from distant regions, and/or captives who were forcibly brought to Conchopata. We examine radiogenic strontium isotope ratios from 72 dental enamel and bone samples representing 31 formal burials and 18 human trophy heads to distinguish between locals and non-locals, and we examine skeletal and archaeological data to establish whether non-local persons were voluntary migrants or captives. We also describe a new, straightforward technique in the evaluation of radiogenic strontium isotope ratios to assist in detecting non-locals when large datasets are available. Results show that natal Conchopata inhabitants should exhibit radiogenic strontium isotope ratios that range from 87Sr/86Sr=0.70548 to 87Sr/86Sr=0.70610. Thus, among the 31 burials, 29 exhibit local values, suggesting that Conchopata was not a cosmopolitan center to which numerous foreigners migrated; rather, it was populated by local peoples, likely the descendants of the preceding Huarpa culture. The two individuals with non-local radiogenic strontium isotope ratios are an infant and a 17-22years old female. The archaeological context suggests that the female may have been taken captive for subsequent sacrifice, as she was interred in front of the ritual D-shaped structure in which decapitated human heads (trophy heads) and sacrificed camelids were deposited. Among the 18 trophy heads sampled, 14 have non-local values, confirming previous studies of smaller samples that suggested that Wari warriors travelled to other locales and took captives-both adults and children-for subsequent transformation into trophy heads. Additional analyses of bone-tooth pairs from a subsample (12 burials and six trophy heads) shows that the burial group was much more sedentary (homogenous radiogenic strontium isotope ratios in bones and teeth) and the trophy head individuals were much more mobile (heterogenous radiogenic strontium isotope ratios in bones and teeth). Overall, the multiple lines of evidence support the notion that the Wari Empire occasionally used militaristic means, combined with elaborate ritualism, to subjugate other populations, a tactic that may have helped Wari establish and maintain control in particular regions in the Andes. © 2011 Elsevier Inc.</t>
  </si>
  <si>
    <t>10.1016/j.jaa.2011.06.005</t>
  </si>
  <si>
    <t>Tunstall H.; Cabieses B.; Shaw R.</t>
  </si>
  <si>
    <t>The characteristics of mobile families with young children in England and the impact of their moves on neighbourhood inequalities in maternal and child health</t>
  </si>
  <si>
    <t>Child; Health inequalities; Maternal; Migration; Neighbourhood</t>
  </si>
  <si>
    <t>This study compares the health and socio-demographic characteristics of residentially mobile families with young children in England to families that do not move and assesses the impact of their moves upon inequalities in health between neighbourhoods. The analysis uses data from the first two waves of the Millennium Cohort Study describing 9022 cohort members, born in 2000-2002, and their families. A third of the families moved between the waves of the survey when the children were aged nine months and three years. Mobile families moved disproportionately toward less deprived areas but had disadvantaged socio-economic characteristics and poor outcomes for infant's birth weight and accidents and mother's self-rated health, limiting longstanding illness and mental health. Health outcomes were worst among the minority moving to more deprived neighbourhoods. Families' moves moderately increased health inequalities between neighbourhoods with high and low deprivation. © 2011 Elsevier Ltd.</t>
  </si>
  <si>
    <t>10.1016/j.healthplace.2011.11.009</t>
  </si>
  <si>
    <t>Ugarte, Sofia</t>
  </si>
  <si>
    <t>Desired formality Labor migration, black markets, and the state in Chile</t>
  </si>
  <si>
    <t>FOCAAL-JOURNAL OF GLOBAL AND HISTORICAL ANTHROPOLOGY</t>
  </si>
  <si>
    <t>desire; formality; labor migration; Latin America; state</t>
  </si>
  <si>
    <t>Formal work is essential to gain legal residence in Chile and the reason why Latin American and Caribbean migrants purchase fake contracts on the black market. Drawing on ethnographic fieldwork with migrant Haitian women apply-ing for work visas in Santiago, this article explores the effects of desired formality and its promises of a good life on contemporary statehood in Chile. The analysis shows how Haitian women's efforts to become formal workers transform their ex-periences as racialized and gendered migrants in Chile, and impact how state insti-tutions manage and control migration. Desired formality reveals the paradoxical character of state policies that help create a racialized and precarious labor force within its legal frameworks and explain why migrants attach themselves to fragile good-life projects in new countries.</t>
  </si>
  <si>
    <t>10.3167/fcl.2021.031103</t>
  </si>
  <si>
    <t>Uleri, Francesca; Zadra, Franca; Piccoli, Alessandra; Sandoval, Daniel J. Duran; Elsen, Susanne</t>
  </si>
  <si>
    <t>Fruit production and exploited labor in northern Italy: Redefining urban responsibility toward the agrarian ground</t>
  </si>
  <si>
    <t>CITY &amp; SOCIETY</t>
  </si>
  <si>
    <t>illegal labor intermediation; labor exploitation; migrant labor; urban-rural links</t>
  </si>
  <si>
    <t>Immigrants play a crucial role in the development of capital-intensive, industrialized agriculture and often find themselves living in derelict, stigmatized neighborhoods where they become not only objects of fear and exclusion but also objects of racketeering, exploitation, and profit-making dynamics. Global trends and migration flows trigger new concerns among policymakers who realize that food production is not only a rural issue. Discussing the Italian case of the Saluzzo Fruit District and the Prima Accoglienza Stagionali (PAS, First Reception of Seasonal Workers) project, this contribution focuses on the role that cities as institutional complexes can have in preventing illegal recruitment and exploitation of labor in agriculture as well as improving the living conditions of migrant field hands through the activation of urban-rural synergies for multifactor and multilevel cooperation. Results offer an overview of the potentiality of the abandonment of an emergency approach limited to the sole provision of shelters to migrant workers for adopting a more structured and holistic approach to territorial planning.</t>
  </si>
  <si>
    <t>10.1111/ciso.12472</t>
  </si>
  <si>
    <t>Urriola, Jorge Canales; Weisser, Javiera Azocar</t>
  </si>
  <si>
    <t>Urban Representations and Socio-spatial Integration Strategies of International Migrants in Temuco, Chile</t>
  </si>
  <si>
    <t>International migrations; socio-spatial integration; urban representations; Temuco (Chile)</t>
  </si>
  <si>
    <t>In the last decade, international migration in Chile has become one of the main problems when thinking about the city and its public spaces. Knowing how cities are represented and what socio-spatial integration strategies are used is central to understanding the relationship of migrants with the urban space inhabited. Based on an exploratory qualitative study of international migration in Temuco, the results show that the different representations of urban space reveal images of a fragmented city that lacks concrete urban devices designed for the socio-spatial integration of foreigners, who, nevertheless, engage in various integration strategies that allow them to partially connect with the city and which are expressed in the various representations of it.</t>
  </si>
  <si>
    <t>10.5354/0718-8358.2022.65962</t>
  </si>
  <si>
    <t>Urrutia Perez, Carla; Correa-Matus, Eliana; Cabieses Valdes, Baltica; Obach King, Alexandra</t>
  </si>
  <si>
    <t>What is the cultural aspect of the intercultural meeting of health care for international migrant populations in Chile? Some anthropological reflections</t>
  </si>
  <si>
    <t>Emigration and immigration; cultural competency; intercultural health; healthcare</t>
  </si>
  <si>
    <t>Chile has become a host country for an international migrant population in the past years, with a growing influx of immigrants over time. Among the challenges of international migration, it is the equitable and timely access of international migrants to the health system, reporting barriers to access to health care. Among the barriers, the intercultural encounter in health and health care with cultural relevance to the needs of the migrant population are identified. In this essay we develop a reflection on the cultural aspects that are inherent to the health care environment, considering the place, actors that participate in the interaction and the time taken. A prior conceptual framework is developed to lay the foundations for reflection, based on the concepts of culture, intercultural health and symbolic interactionism as a proposal for an approach to this phenomenon. For the realization of this article, a bibliographic review is carried out in scientific databases (Pubmed, Scielo and Google Scholar) and grey literature, with the aim of reflecting on the cultural aspects in the health care encounter among international migrant population and the healthcare professionals who serve them.</t>
  </si>
  <si>
    <t>10.7770/CUHSO-V32N1-ART2408</t>
  </si>
  <si>
    <t>Urrutia-Arroyo, Ruth H</t>
  </si>
  <si>
    <t>Percepciones sobre la educación intercultural y relación médico-paciente inmigrante en médicos de Chile</t>
  </si>
  <si>
    <t>Education medical; Human migration; Public health</t>
  </si>
  <si>
    <t>Objective. To delve into the doctors’ perceptions about training for intercultural practice in the doctor-immigrant patient (DPR) relationship in Chile. Materials and Methods. A qualitative study was carried out in communes of the metropolitan region (RM) through in-depth interviews with doctors. The inclusion criteria for the sample were: to be a doctor, to have a formal work relationship in a public health center, and to have had contact with the international migrant population living in each commune. The final sample consisted of 13 doctors; information saturation criteria were considered. Results. There is a greater tension related to intercultural coexistence, favored by the cultural, language, and prejudice barrier. The absence of records about the patients’ national origin contributes to these perspectives. The findings show the lack of training geared towards understanding and caring for a diverse population on a daily basis; as well as the need to get familiar with the immigration phenomenon going on in Chile and the current Latin American diversity. Conclusions. New challenges to medical training in light of the growing migrant population in Chile are discussed here. The emergence of interculturality in medical training raises critical aspects that are articulated with healthcare intercultural and human rights approach.</t>
  </si>
  <si>
    <t>10.17843/rpmesp.2018.352.3404</t>
  </si>
  <si>
    <t>Urzua, Alfonso; Aragon, Diego; Landabur, Rodrigo; Henriquez, Diego; Cortes, Leonel</t>
  </si>
  <si>
    <t>Acculturation strategies and blood cortisol in colombian Migrants in Chile</t>
  </si>
  <si>
    <t>BMC PSYCHOLOGY</t>
  </si>
  <si>
    <t>Acculturation; Cortisol; Migration</t>
  </si>
  <si>
    <t>Backgroundmigration is a worldwide phenomenon that is growing at an accelerated pace. When people who migrate come into contact with a new culture, they are immersed in a process called acculturation. In this process, people oscillate between maintaining their own culture or acquiring the culture and customs of the host country, resulting in the so-called acculturation strategies. According to Berry's proposal, there are four main acculturation strategies: assimilation, integration, marginalization and separation. The few existing studies of Latinos in an Anglo-Saxon country relate the use of the integration strategy (biculturalism) with lower cortisol levels. No studies have been found on the subject in Latino migrants in a Latino country.Methoda cross-sectional design was used to analyze the relationship between acculturation strategies and blood cortisol levels, based on the hypothesis that an integration strategy or biculturalism would be linked to lower cortisol levels. The study involved 314 Colombian migrants in Chile, who were evaluated with a scale of acculturation strategies according to the model proposed by Berry, in addition to providing blood samples to analyze cortisol levels.Resultsmigrants who show a preference for leave behind the culture of the country of origin have higher levels of cortisol ng/ml in blood. According to multiple comparisons the mean cortisol value was significantly different between integrated and assimilated subjects, with the mean cortisol of the integrated being significantly lower than that of the subjects typed as marginalized.ConclusionThe patterns of the relationship between biculturalism and cortisol found in Latino migrants in Anglo-Saxon countries are repeated in Latino migrants in a Latino country. It is necessary to explore the influence of other variables in this relationship, since it seems that the best adaptive strategy, and therefore the cortisol response, will vary according to the socio-cultural context of the host country.</t>
  </si>
  <si>
    <t>10.1186/s40359-023-01147-w</t>
  </si>
  <si>
    <t>Urzua, Alfonso; Baeza-Rivera, Maria Jose; Caqueo-Urizar, Alejandra; Henriquez, Diego</t>
  </si>
  <si>
    <t>Optimism and Intolerance to Uncertainty May Mediate the Negative Effect of Discrimination on Mental Health in Migrant Population</t>
  </si>
  <si>
    <t>migration; mental health; depression; anxiety; optimism; intolerance to uncertainty</t>
  </si>
  <si>
    <t>(1) Background: Migration causes effects on the people who migrate and on the societies that receive them, which can be positive or negative, depending on the characteristics of the interaction. One negative effect is the emergence of mental health disorders associated with the presence of discrimination, a relationship for which there is abundant evidence, although there is less research on factors that may alter this effect. (2) Objective: To evaluate the possible mediating role of optimism and intolerance to uncertainty in the relationship between discrimination and mental health. (3) Method: Nine hundred and nineteen adult Colombian migrants residing in Chile, 49.5% were men and 50.5% women, ages from 18 to 65 years, were evaluated. The Discrimination Experience Scale, BDI-IA Inventory, BAI, LOT-R and the Intolerance to Uncertainty Scale were applied. The effects were estimated using structural equation modeling. (4) Results: A mediating effect of both dispositional optimism and intolerance to uncertainty on the relationship between discrimination and mental symptomatology was observed. (5) Conclusions: The impact on individual suffering and the social cost of mental health problems require investigating variables on the relationship between discrimination and mental health, including mediators of this relationship, which turn out to be central elements in the development of future strategies for the reduction of anxiety and depression symptoms.</t>
  </si>
  <si>
    <t>10.3390/healthcare11040503</t>
  </si>
  <si>
    <t>Urzua, Alfonso; Caqueo-Urizar, Alejandra; Alquinta, Barbara; Jeria, Roberto; Jorquera, Ricardo; Lau, Xiao Xiong</t>
  </si>
  <si>
    <t>Life Satisfaction in childhood: Latin American Immigrant Children in Chile</t>
  </si>
  <si>
    <t>PSIHOLOGIJA</t>
  </si>
  <si>
    <t>Immigration; child migration; subjective well-being; life satisfaction; Latin-America</t>
  </si>
  <si>
    <t>The goal of the current study was to evaluate life satisfaction in a sample of 300 immigrant children aged between 8 and 13 years old. Satisfaction in different domains and overall life, was evaluated using the General Domain Satisfaction Index and the Overall Life Satisfaction index, respectively. These instruments were also applied to a sample of 300 non-immigrant children of similar age. Statistically significant differences were found only in the 12-13 years group, where the mean scores for immigrants were lower than those for natives, on the domains of family and home, material goods, interpersonal relationships, health, and use of time. Additionally, immigrants had higher mean scores on the domains of area of residence, school, and personal satisfaction. These results allow us to reflect on the influence of society in all domains throughout their lives. Thus, these findings contribute toward the creation of policies that integrate migrants.</t>
  </si>
  <si>
    <t>10.2298/PSI200116021U</t>
  </si>
  <si>
    <t>Urzua, Alfonso; Caqueo-Urizar, Alejandra; Flores, Jerome</t>
  </si>
  <si>
    <t>Sources of Acculturation Stress in Childhood and Adolescence. Measuring Instrument Proposal FEAC-IA</t>
  </si>
  <si>
    <t>acculturation stress; migration; childhood; adolescence; acculturation</t>
  </si>
  <si>
    <t>Acculturation stress has been strongly associated with the emergence of problems in people's health, mainly mental health. Despite its importance as a risk factor, its study has been carried out mainly in the adult population, with less research being carried out on the subject in the child and adolescent population. This research evaluates the psychometric properties of FEAC-IA, a questionnaire designed to evaluate the sources of stress due to acculturation. Data were collected from 401 schoolchildren between 8 and 18 years (M=12,4; SD=2,5). Reliability analysis and fit goodness indicators were performed for the evaluation of factorial structure models through exploratory structural equation analysis (MEEE) and confirmatory factor analysis (AFC). The questionnaire presents good indicators of goodness of fit for a three-factor model: longing and differences with the country of origin, adaptation in school, family and relationship with peers and experiences of discrimination (CFI=0.98; TLI=0.976; RMSEA=0.052). The proposed scale can be an important contribution to collect inputs in the migrant children and youth population on the sources of stress, which allow the development of specific intervention plans.</t>
  </si>
  <si>
    <t>10.11144/Javeriana.upsy18-5.feai</t>
  </si>
  <si>
    <t>Urzua, Alfonso; Henriquez, Diego; Caqueo-Urizar, Alejandra; Smith-Castro, Vanessa</t>
  </si>
  <si>
    <t>Validation of the brief scale for the evaluation of acculturation stress in migrant population (EBEA)</t>
  </si>
  <si>
    <t>PSICOLOGIA-REFLEXAO E CRITICA</t>
  </si>
  <si>
    <t>Acculturation; Acculturation stress; Migrant; Migration; Stress</t>
  </si>
  <si>
    <t>Background Acculturation stress is associated with poorer physical and mental health and a lower level of psychological well-being. The causes of acculturation stress are diverse, but most are similar in the migrant population. Despite the importance of evaluating this variable, few studies have reported culturally adapted and validated instruments for specific populations. Based on this, the aim of this study was to evaluate the psychometric properties of a short scale for the evaluation of acculturation stress (EBEA). Methods Two studies were conducted, involving 1725 first-generation Colombian and Peruvian migrants living in Chile, between the ages of 18 and 60 years. In addition to the EBEA and as evidence of validity, the Beck Anxiety Scale and the WHOQOL-BREF psychological health domain were applied. A confirmatory factor analysis was carried out, and the reliability and nomological validity were evaluated. Results The results in both studies indicated that the scale presents a factorial structure of three dimensions: (a) the stress derived from the preparation and departure from the country of origin, (b) the stress produced by socioeconomic concerns in the host country, and (c) the tensions typical of adaptation to sociocultural changes or Chilean society. The reliability coefficients and the analysis of their nomological validity were very good. Conclusions The EBEA is a measure that offers quick, useful screening for researchers who need a short measure for research among migrants. This tool contributes to the work of education, prevention, and intervention in the field of general health and migrants' mental health.</t>
  </si>
  <si>
    <t>10.1186/s41155-020-00168-3</t>
  </si>
  <si>
    <t>Urzua, Alfonso; Leiva, Jose; Caqueo-Urizar, Alejandra</t>
  </si>
  <si>
    <t>Effect of Positive Social Interaction on the Psychological Well-being in South American Immigrants in Chile</t>
  </si>
  <si>
    <t>Social interaction; Psychological well-being; Immigration; South America</t>
  </si>
  <si>
    <t>The immigration of South American people migrating to countries of the same region is a little explored phenomenon, mainly in terms of processes that affect their integration and well-being in the countries that host it. The objective of this research was to analyze the effect of positive social interaction on the psychological well-being of immigrants. Participants in this study were 684 Colombians and Peruvians, over 18 years old, living in Chile. They had to complete scales that evaluate their psychological well-being (Ryff) and others that evaluate their interaction with the environment (social role and social well-being). It is found that the positive social interaction had a significant and positive association with all dimensions of psychological well-being, except for autonomy. In this sense, the processes through which the individual interacts with society are related to their well-being. As being a positive interaction, the overall functioning of the immigrant (psychological well-being) will be superior.</t>
  </si>
  <si>
    <t>10.1007/s12134-019-00731-7</t>
  </si>
  <si>
    <t>Usallán Méndez, Liván</t>
  </si>
  <si>
    <t>El pluralismo cultural y la gestión política de la inmigración en Chile: ¿ausencia de un modelo?</t>
  </si>
  <si>
    <t>Cultural pluralism; assimilationism; management models; immigration policies; Chili</t>
  </si>
  <si>
    <t>The aim of this paper is to analyze the main features of the assimilationist and cultural pluralism paradigm from the perspective of managing diversity in multicultural societies. We will stand out theoretical differences between the two paradigms and the management models which arise from them. Then we will focus on Chilean State legal framework regarding migration, to determine what management paradigms prevail in it.</t>
  </si>
  <si>
    <t>Utrilla S.E.; Véliz J.O.; Mora R.M.</t>
  </si>
  <si>
    <t>Dynamics and structure of interurban residential migrations in Chile, 1987-2002; [Dinámica y estructura de las migraciones residenciales interurbanas en Chile, 1987-2002]</t>
  </si>
  <si>
    <t>Chile; Interurban migrations; Network analysis; Residential mobility; Urban network</t>
  </si>
  <si>
    <t>Over the 1997-2002 period, residential migrations among Chilean cities with more than 50,000 inhabitants maintained the intensity they had had ten years earlier which contrasts with the decrease in this type of mobility in smaller cities during the same period under review. Through the modeling and implementation of network analysis methods to the bilateral migratory flows between cities –collected through census microdata– it is revealed that interurban residential mobility is highly polarized, stable and compatible with a remarkable dynamic of changes in the direction and magnitude of flows. The spatial organization of interurban migrations has different levels and scales, whose hierarchy and ways of integration are strongly associated with the configuration of urban networks, that is, the spatial distribution of cities, population and specialization of economic activities. Although the material from the period under review shows a slight decrease in the destinations for residential mobility, there are no signs of an intense and widespread decentralization process. © 2018, Universidad de Chile, Instituto de la Vivienda. All rights reserved.</t>
  </si>
  <si>
    <t>10.4067/s0718-83582018000300105</t>
  </si>
  <si>
    <t>Uysal, Jasmine; Stockman, Jamila K.; Miller, Elizabeth; Rocha-Jimenez, Teresita; Rangel, Gudelia M.; Mercado, Alejandra Padilla; Servin, Argentina E.</t>
  </si>
  <si>
    <t>At Least I Didn't Get Raped: A Qualitative Exploration of IPV and Reproductive Coercion among Adolescent Girls Seeking Family Planning in Mexico</t>
  </si>
  <si>
    <t>JOURNAL OF INTERPERSONAL VIOLENCE</t>
  </si>
  <si>
    <t>adolescents; cultural contexts; dating violence; domestic violence; revictimization</t>
  </si>
  <si>
    <t>Adolescent girls who report intimate partner violence (IPV) are at an increased risk of experiencing reproductive coercion (RC); both these forms of gender-based violence (GBV) are associated with unintended pregnancy. Yet little is known about these experiences among adolescent girls in Mexico. Qualitative data were collected as part of formative research for the adaptation of an evidence-based intervention to address RC and IPV in community health centers in Tijuana, Mexico. From September, 2017 to January, 2018, adolescent girls aged 16 to 20 years old (n = 20) seeking voluntary family planning (FP) services were identified and recruited from two publicly funded community health centers. We conducted semi-structured, in-depth interviews and analyzed the transcripts using inductive and deductive techniques. Participants in this sample commonly described experiencing IPV and RC (including pregnancy coercion and contraceptive sabotage), which many girls reported resulted in unintended pregnancy. Further, participants' narratives and general lack of knowledge on how to cope with IPV or RC illuminated the acceptability of offering GBV prevention intervention within FP clinics serving this population. Findings highlight an urgent need to prevent IPV and RC, and reduce risk for unintended pregnancy among adolescent girls in this region and the potential of FP clinics to serve as a safe space for intervention delivery. Findings contribute to the limited qualitative evidence from Mexico, describing adolescent girl's experiences of IPV and RC, strategies for preventing pregnancy in the context of RC, and opportunities for support from FP providers.</t>
  </si>
  <si>
    <t>7-8</t>
  </si>
  <si>
    <t>NP4740</t>
  </si>
  <si>
    <t>NP4761</t>
  </si>
  <si>
    <t>10.1177/0886260520959571</t>
  </si>
  <si>
    <t>Vaishnavi; Senguttuvan M.</t>
  </si>
  <si>
    <t>Re-constructing Food Identities in Min Jin Lee's Pachinko</t>
  </si>
  <si>
    <t>World Journal of English Language</t>
  </si>
  <si>
    <t>culture; Food; gender; hybridity; migration</t>
  </si>
  <si>
    <t>Migration is often a result of forced escape from political or social uprisings, subordination faced on different levels or a free will to explore a nomadic lifestyle. The consequences faced range from cultural shock and alienation to acclimatizing to a foreign world. The basic elements that seek drastic changes are the food practices and traditions. Food is an integral part of a culture which can vary from culture to culture in terms of the style of cooking to the types of food consumed. This leads to a formation of the Self and the Other which the migrants find strenuous to grapple with. The paper Re-constructing Food Identities in Min Jin Lee’s Pachinko intends to navigate the lives of select characters in the chosen novel, that have paved their way in life through hybridized societies and hegemonic identities, along food cultures. It will study the clashes, confrontations and negotiations that finally lead to acculturation. It will also explore hybridization of indigenous culinary practices which create dissimilar yet known traditions that become difficult to comprehend and follow. Min Jin Lee‟s Pachinko depicts a re-construction of food identities in different generations of wars and colonial occupations. © 2024 Sciedu Press. All rights reserved.</t>
  </si>
  <si>
    <t>10.5430/wjel.v14n3p394</t>
  </si>
  <si>
    <t>Valdebenito F.; Guizardi M.L.</t>
  </si>
  <si>
    <t>Migrant spatialities. An ethnography of the Peruvian women experiences in Arica (Chile); [Espacialidades migrantes. Una etnografía de la experiencia de mujeres peruanas en Arica (Chile)]</t>
  </si>
  <si>
    <t>Gazeta de Antropologia</t>
  </si>
  <si>
    <t>Arica; Border; Migration; Peruvian women; Transitionalism</t>
  </si>
  <si>
    <t>The paper presents an ethnographical case study concerning Peruvian migrants in Arica (Chile), undertaken in three urban areas: the International Bus Station, the Agro-market, and Areneros and Coraceros Camps. After discussing the methodological strategies, we raise questions on how the border and the spatiality have been interpreted in the migratory studies. We will also situate Arica in the Chilean-Peruvian border territory, explaining some of the historical processes that determined the 'cultural configurations' of the city. The ethnographic sections will describe the facilities and surroundings of the International Terminal, observing the migratory circulation that characterizes it; the municipal Agro-market, approaching the labour niches that the migrants occupy; and the camps, in which we observe a dynamic of partial fixation of the migrants. The final remarks will offer some theoretical debates that resize the ethnography.</t>
  </si>
  <si>
    <t>Valderrama, Caterine Joanna Galaz; Martinez, Marisela Montenegro</t>
  </si>
  <si>
    <t>Governmentality and Relations of Inclusion/Exclusion: Social Intervention Devices Aimed at Immigrant Women in Spain</t>
  </si>
  <si>
    <t>governmentality; social intervention; transnational migrations; intersectionality</t>
  </si>
  <si>
    <t>International migration has emerged, in contemporary European societies, as an area of concern for control and governmentality processes, by means of its definition as a social problem that must be addressed by public organisms. Different laws, regulations, discourses, plans and intervention processes emerge from the need to manage these populations, generating as main effect the reproduction and solidification of power relations in host societies. Departing from different researches developed in the field of services provided to immigrant women in Spain, we propose to analise the ways in which governmentality mechanisms contribute to construct a subject that is understood as an Other problematic and needing that requires attention to achieve proper social integration. These mechanisms contribute to justify the urge for this population to adapt to a context of legal, social and cultural inequality that results unquestioned.</t>
  </si>
  <si>
    <t>10.11144/Javeriana.up14-5.grie</t>
  </si>
  <si>
    <t>Valdés, René; Jiménez, Felipe; Hernández, María Teresa; Catalán, Ramiro; Poblete, Rolando; Abett de la Torre, Paloma</t>
  </si>
  <si>
    <t>Contribuciones y limitaciones de los protocolos de acogida para estudiantes extranjeros: Recomendaciones para su mejoramiento</t>
  </si>
  <si>
    <t>Chile; inclusion; interculturality; migration; reception protocols</t>
  </si>
  <si>
    <t>Abstract Between different instruments and devices to facilitate the inclusion of foreign students in schools, reception protocols are being used widely. However, to date the particularities of these devices and their contribution to reception processes have been little explored and discussed. The objective of this study is to analyze the implementation of reception protocols in Chilean schools with a high enrollment of migrant population. From a qualitative methodology, 42 reception protocols were analyzed and systematized and in a second phase interviews were conducted with key actors in the school environment. The main results indicate that the protocols are documents managed mainly by psychosocial teams in order to facilitate enrollment and organize socio-emotional supports for students. However, tensions are observed in its design and implementation, such as the absence of certain central educational dimensions to respond to cultural diversity. The contributions of the protocols and the possibilities of advancing towards a reception program with an inclusive and multidimensional perspective are discussed.</t>
  </si>
  <si>
    <t>10.5027/psicoperspectivas-vol.21-issue1-fulltext-2334</t>
  </si>
  <si>
    <t>Valencia Huerta, Pilar; Ramos Rodríguez, Romina</t>
  </si>
  <si>
    <t>ANÁLISIS CRÍTICO DEL PROCESO DE (DES)REGULARIZACIÓN MIGRATORIA EXTRAORDINARIA EN CHILE (2018-2019)</t>
  </si>
  <si>
    <t>Migration governance; irregularity; extraordinary regularization; Chile</t>
  </si>
  <si>
    <t>The public institutions in charge of migration governance construct the notions of citizenship and those considered "non-citizens". From this perspective, the chilean administration has reconfigured its role. This reality is observed, for example, in the imple mentation of a series of policies carried out during 2018, which impose restrictive measures for the entry and stay of foreigners. Specifically, this work will focus particularly on the Extraordinary Immigration Regularization Process and its effects on the production of irregularity. All in all, the objective is to describe, from a qualitative and exploratory approach, the impact of these new measures on the regularity of migrants living in a border area located in the extreme north of Chile. Based on the foregoing, interviews with key informants and people who participated in the regularization process are analyzed. We conclude that, despite the positive recognition of the measure, its implementation was carried out with little information available, with problems for the communities by not allowing access to formal jobs and excessive delay in processing applications, which generated irregular immigration status and perpetuated precarious factors.</t>
  </si>
  <si>
    <t>Valenzuela B.F.P.; Ramírez J.C.E.; Zúñiga M.C.</t>
  </si>
  <si>
    <t>Impact of demand of a social tourism in the sustainability of the activity in the locality of El Quisco, Province of San Antonio - Chile; [Impacto de la demanda de un turismo social en la sustentabilidad de la actividad en el balneario de El Quisco, Provincia de San Antonio - Chile]</t>
  </si>
  <si>
    <t>INVESTIGACIONES GEOGRÁFICAS</t>
  </si>
  <si>
    <t>Environment; Environmental management; Sustainable tourism</t>
  </si>
  <si>
    <t>Every summer Chile's Central Coast undergoes the effects of social tourism, as a vast number of low-income visitors arrive from Chile's most densely populated areas in the Central Zone. Despite congestion and saturation of available touristic resources, the number of visitors increases every year, contravening classic touristic demand models that define migration to less congested resources as the outcome of congestion. This analysis will be focused on El Quisco beach, located at Valparaiso's Region, a touristic destination that clearly represents this process of mass tourism socialization. The goal of this research is to understand the demand composition that social tourism generates, by determining its nature and identifying the factors that define its behavior. These factors are related to the visitor's origin, displacement, permanence, loyalty, social bonds, gender, income, consumption capacity, and to the degree of satisfaction regarding touristic supplies such as beaches, equipment, and infrastructure. Understanding this demand behavior it is key to develop policies enabling the planning of sustainable social tourism, and allowing for low-income families to access high-quality resources.</t>
  </si>
  <si>
    <t>10.14350/rig.34429</t>
  </si>
  <si>
    <t>Valenzuela E.; Unzueta M.B.</t>
  </si>
  <si>
    <t>Parental transmission of ethnic identification in mixed couples in Latin America: the Mapuche case</t>
  </si>
  <si>
    <t>ethnic identification; exogamy; indigenous ethnicity; Latin America; Mapuche; transmission of ethnicity</t>
  </si>
  <si>
    <t>This study analyses the ethnic identification of children of mixed couples among the Mapuche ethnic group in Chile using census data. The Mapuche are characterized by high exogamy, providing an extreme case of the Latin American pattern of tolerance towards intermarriage. We find that ethnic identification of children of mixed couples is high although it tends to weaken outside the native homeland. Furthermore, education does not increase the classification of children of mixed couples outside of the ethnic group. These findings contravene not only the Brazilian pattern of whitening but also predictions by assimilation theories, and suggest a process of indigenous awareness for families outside the native homeland. © 2015 Taylor &amp; Francis.</t>
  </si>
  <si>
    <t>10.1080/01419870.2015.1037782</t>
  </si>
  <si>
    <t>Valenzuela Marquez, Jaime</t>
  </si>
  <si>
    <t>Marriage as a space of defragmentation on the displaced mapuche-huilliche in the city of Santiago, Chile, during the second half of the seventeenth Century (1669-1678)</t>
  </si>
  <si>
    <t>Indigenous slavery; Arauco War; Migrations; Santiago de Chile; Marriage ties</t>
  </si>
  <si>
    <t>Throughout the seventeenth century the frontier war in Southern Chile was characterized by raids that were oriented towards pillage and the capture of indigenous peoples who had been declared to be legally enslavable since 1608. Deported to central Chile, Coquimbo or Lima, Mapuche and southern Huilliche were part of a generalized experience of communal uprooting, the fragmentation of social networks, territorial links and above all the destruction of familiar ties of individuals who were exposed to the traumatic experiences of violent abduction and perpetual exile from their homeland. The objective of this article is to delineate the signs of this fragmentation and to then study the recomposition trends -or defragmentation- that were observed among the Indians upon marriage, within the urban context of the Chilean capital and the surrounding area. This analysis is based on records from the Sagrario parish and centers around an historical moment of transition between the rise of the capture and traffic of this rebel Indians and the abolition of legal slavery.</t>
  </si>
  <si>
    <t>10.4067/S0718-10432018005000801</t>
  </si>
  <si>
    <t>Urban Indians: Migrations, Alterity, and Ladinoization in Santiago de Chile (16th and 17th Century)</t>
  </si>
  <si>
    <t>HISTORIA CRITICA</t>
  </si>
  <si>
    <t>Santiago de Chile; Amerindians; city; migration; identity; multiculturalism</t>
  </si>
  <si>
    <t>During the period following the Conquista and when the Santiago de Chile's urban society was formed, one can observe various indigenous peoples that migrated to the city: Andinos, Huarpes of Cuyo, Juries from Tucaman, and Mapuche-Huilliches from the south of the Kingdom of Chile. The objective of this article is to show the great geographic and ethnic diversity of the city by studying the arrival, deployment and mobility of these actors and their descendants, as well as their forms of settlement and their strategies for integration.</t>
  </si>
  <si>
    <t>Valenzuela-Vergara E.M.</t>
  </si>
  <si>
    <t>Media Representations of Immigration in the Chilean Press: To a Different Narrative of Immigration?</t>
  </si>
  <si>
    <t>Journal of Communication Inquiry</t>
  </si>
  <si>
    <t>Chile; framing; immigration; news; news coverage; print media</t>
  </si>
  <si>
    <t>This article examines representations of immigration in Chilean newspapers. From January to December 2016, a total of 507 articles from three mainstream newspapers were analyzed. The findings show a dual discourse on immigration in the Chileans press: a criminalization of immigrants, which frame them as delinquents, deviant, and dangerous people, and a positive and more humanizing discourse, which portrays them as people who deserve to be protected by the Chilean society. The study also finds a shift in the way media sources are representing immigration compared to previous reports, characterized by presenting alternative images of migrants, a more cautious use of language, and increased attention to the voices of governmental and religious leaders. Nevertheless, this shift has also intensified the “difference” and “otherness” of foreigners in Chile by repeatedly focusing on their nationality and differentiating between the “good” and “bad” immigrants. © The Author(s) 2018.</t>
  </si>
  <si>
    <t>10.1177/0196859918799099</t>
  </si>
  <si>
    <t>The good, the bad, and the invisible: the role of educators in reinforcing national-origin-based stereotypes</t>
  </si>
  <si>
    <t>Multicultural Education Review</t>
  </si>
  <si>
    <t>Chile; education; Immigrants; peer integration; stereotypes; teacher expectancy</t>
  </si>
  <si>
    <t>A growing body of research has investigated how school staff attitudes and beliefs towards immigrant students play a crucial role in their process of integration. However, the literature has consistently focused on the effects of teachers’ beliefs on immigrant students’ academic achievements, omitting other factors such as the effect on students’ social interactions. Based on cases from Chile, this article examines the attitudes, prejudices, and beliefs that school staff have regarding immigrant students and how these images affect immigrants’ relationships with their Chilean peers. I relied on 75 in-depth interviews with students and school staff and 46 classroom observations from seven high schools in the Metropolitan Region of Chile. Results show that national origin-based stereotypes shape the way that educators see and understand immigrant students’ relationships with their peers. Moreover, these national-based stereotypes directly alter immigrant students’ integration with their Chilean peers by reinforcing Chilean students’ prejudices towards their immigrant peers and by affecting immigrants’ self-identity, confidence, and well-being. © 2023 Korean Association for Multicultural Education.</t>
  </si>
  <si>
    <t>10.1080/2005615X.2023.2287692</t>
  </si>
  <si>
    <t>Van Noorloos F.; Steel G.</t>
  </si>
  <si>
    <t>Lifestyle migration and socio-spatial segregation in the urban(izing) landscapes of Cuenca (Ecuador) and Guanacaste (Costa Rica)</t>
  </si>
  <si>
    <t>Gentrification; Latin America; Lifestyle migration; Spatial segregation; Urbanization</t>
  </si>
  <si>
    <t>Globalization and changing mobility patterns have significantly altered the urban landscapes of Latin America over the past decades. Efforts by the state and the private sector to regenerate urban areas and free up land for the sake of investment and wealthy city dwellers have shaped processes of privatization and socio-spatial segregation. While 'privileged mobilities' such as lifestyle migration can be assumed to play a role in such urban transformations, research on the link between urban change and lifestyle migration in Latin America is still in its infancy. This paper focuses on the impact of lifestyle migration on the extent and speed of socio-spatial change in intermediate cities and urbanizing regions. More concretely, the paper underscores the importance of lifestyle migration in shaping contemporary urban space in Latin America by comparing socio-spatial transformations in Cuenca, an intermediate city in southern Ecuador, and the urbanizing coast of Guanacaste province in northwest Costa Rica. These research sites currently are two of Latin America's main destinations for international lifestyle migrants, and hence are experiencing escalating real estate development. Both areas have developed into increasingly exclusivist spaces and as such show that intermediate cities and urbanizing regions can no longer escape the spatial segregation, gentrification and inequality that used to be associated almost solely with metropolitan centers. © 2015 Elsevier Ltd.</t>
  </si>
  <si>
    <t>10.1016/j.habitatint.2015.08.014</t>
  </si>
  <si>
    <t>Varela F.R.</t>
  </si>
  <si>
    <t>Incidence of COVID-19 and the Social Vulnerability of Migrants in Chile; [Incidencia del COVID-19 y la vulnerabilidad social de los migrantes en Chile]</t>
  </si>
  <si>
    <t>Chile; COVID-19; migrants; pandemic; social vulnerability</t>
  </si>
  <si>
    <t>The global social and health crisis as a result of COVID-19 exposes the social vulnerability of the migrant population. The purpose is to carry out an analysis of the confirmed coronavirus cases between March to July 2020 in Chile, and the incidence of these among the migrant population, considering social and health conditions and multidimensional poverty rates. The data analyzed not only reflects vulnerability to the pandemic but also shows the hidden realities of migration processes and new challenges to this population. The information has been collected through the Transparency Act and the Sub-Secretariat of Health. Since this information is not public and disaggregated, it represents a limitation when making political, social, and health decisions for the benefit of the migrant population. © 2022, El Colegio de la Frontiera Norte. All rights reserved.</t>
  </si>
  <si>
    <t>10.33679/rmi.v1i1.2472</t>
  </si>
  <si>
    <t>Varela, Jorge J.; Gonzalez, Constanza; Bravo-Sanzana, Monica; Melipillan, Roberto; Reyes-Reyes, Fernando; Pacheco-Olmedo, Daniela</t>
  </si>
  <si>
    <t>School Violence, School Bonding and Adherence to School Norms and its Association with Life Satisfaction Among Chilean and Foreign Students</t>
  </si>
  <si>
    <t>CHILD INDICATORS RESEARCH</t>
  </si>
  <si>
    <t>Adolescents; Life satisfaction; Migration; School social climate; School violence</t>
  </si>
  <si>
    <t>In recent years, there has been an increasing recognition of the importance of understanding the educational experiences of immigrant students, particularly in diverse societies like Chile. Immigrant students often encounter unique challenges related to language, culture, and social integration, which can significantly impact their perceptions of school norms, school bonding, experiences of school violence, and overall well-being. However, there is a limited understanding of the specific differences between Chilean students and immigrant students in these domains. This study aims to bridge this gap by examining the differences between Chilean and immigrant students in their perception of school norms, levels of school bonding, experiences of school violence, and well-being. The study used a sample of 2,040 high school students residing in Chile from 20 schools (Mage = 14.9; 49% girls; 11.3% youths of immigrant origin). Results indicated that non-Chilean students exhibited higher levels of behavioral norms and lower levels of bonding. No statistically significant differences were observed for school violence and well-being. Implications for the development of educational policies that promote strategies for the development of a positive school climate are discussed, conceiving the school from the perspective of diverse and inclusive classrooms, which allow for the enrichment of culture and promote the well-being of the entire educational community.</t>
  </si>
  <si>
    <t>10.1007/s12187-023-10075-5</t>
  </si>
  <si>
    <t>Vásquez Wiedeman, Claudio; Vallejos Quilodrán, Daniel</t>
  </si>
  <si>
    <t>Migración juvenil rural en la región del Maule, Chile: Expectativas de futuro de la nueva generación</t>
  </si>
  <si>
    <t>Rural youth; migratory paths; expectations of future</t>
  </si>
  <si>
    <t>This document is a report of a social research developed, during the year 2013, in the Región del Maule; placed in the middle south valleys in Chile, which was sponsored by the International Labour Organization (ilo). The official statistical evidence suggests that the proportion of rural young persons is diminishing. This becomes aware specially in seasons of major labor offer on the part of the agroexporting sector, principal source of employments in the region, provided that is observed that the average age of the workers in the season of crop and packing is adult and senior. This problem comes to such point that the political authorities have evaluated the possibility of opening the border immigrants of neighboring countries who are ready to be employed at agricultural tasks of the summer season.</t>
  </si>
  <si>
    <t>Vásquez-Ventura I.S.; Jiménez M.O.; Contreras-De la Fuente H.S.</t>
  </si>
  <si>
    <t>Healthy transition of Hispanic Immigrant: Derivation from a middle-range theory; [Transición saludable del inmi-grante hispano: derivación de una teoría de rango medio]</t>
  </si>
  <si>
    <t>Healthy transition; Hispanic immigrant; Migration; Nursing; Theory; Transitions theory</t>
  </si>
  <si>
    <t>Objective: To propose a middle-range nursing theory to explain the phenomenon of acculturation stress that the Hispanic immigrant presents during their transition to the United States of America. Methods: The theory derivation methodology of Jacqueline Fawcett was carried out. Results: The theory reveals the personal, social and environmental factors that impede the transition of the Hispanic immigrant in the United States of America. In addition, this theory exposes a set of propositions for the achievement of a healthy transition. Conclusions: The theory of healthy transition contributes to the design of nursing interventions in the process of changing a culture, for the achievement, adoption and mastery of personal, social and environmental strategies that contribute to obtaining a healthy transition in the host country. © 2021, Fundacion Index. All rights reserved.</t>
  </si>
  <si>
    <t>Vasquez, Jorge; Finn, Victoria; de Reguero, Sebastian Umpierrez</t>
  </si>
  <si>
    <t>Changing the Padlock: Legislative Intentions in Chile's Migration Law Proposal</t>
  </si>
  <si>
    <t>governance; IMPIC index; migration policies; labor immigration; family reunification; restrictiveness; Chile; refugees</t>
  </si>
  <si>
    <t>Objective/Context: Latin American democracies in the 21st century are torn between protecting state sovereignty by increasing restrictiveness in immigration legislation versus adhering to more liberal international agreements advocating human rights and mobility. Increases intraregional migration, especially from Venezuela, have pushed some South American countries to limit rights and freedoms previously included in immigration policies. Our objective is to further examine this shift to restrictiveness by empirically evaluating legislative intentions in Chile. Methodology: Since 2018 the Chilean government has implemented various measures aimed to achieve orderly and regular immigration, as well as proposed a law project to replace the Migration Law of 1975, adopted during the civic- military regime. We apply the Immigration Policies in Comparison (IMPIC) index using Chile's law proposal 8970-06 and its refugee Law 20.430. Conclusion: The Chilean administration's legislative intentions indicate tightening restrictions constraining human mobility, especially for labor immigration and family reunification. Originality: This article extends the IMPIC index from 2010 to 2019, applying it for the first time to legislative intentions of an incumbent government, to shed light on how countries, as migration states, change strategies over time.</t>
  </si>
  <si>
    <t>10.7440/colombiaint106.2021.03</t>
  </si>
  <si>
    <t>Vecchio G.</t>
  </si>
  <si>
    <t>Ageing, therefore marginal: demographic trends and institutional capacity in marginal Chilean municipalities</t>
  </si>
  <si>
    <t>Region</t>
  </si>
  <si>
    <t>ageing; Chile; institutional capacity; territorial marginality</t>
  </si>
  <si>
    <t>In Global South countries, ageing is an incoming phenomenon with socio-spatial implications that are not much explored yet. Global North countries are already facing ageing trends with significant territorial consequences, such as declining populations that contribute to making certain areas marginal. However, different factors may determine the marginality of a municipality or a region in other settings. Drawing on these premises, the paper discusses whether ageing demographic trends contribute to territorial marginality also in a Global South setting. The paper focuses on the case of Chile, a country characterised by significant territorial inequalities and a population that is becoming older. In doing so, it has a twofold purpose: first, examine census data to define what areas are currently experiencing a demographic decline and if these correspond to the areas that national policies define as marginal; second, examine official documents to consider to what extent both national policies and local development plans define ageing as an element of marginality. The decline of population in Chile defines a geography of marginality that complements and expands the one defined in policy strategies, including more areas. In contrast, institutions at different levels are only partially prepared for dealing with the socio-spatial implications of an increasingly older population. © 2022 by the authors.</t>
  </si>
  <si>
    <t>10.18335/region.v9i2.390</t>
  </si>
  <si>
    <t>Vega G.T.; Cerda-Oñate K.; Peredo F.Q.</t>
  </si>
  <si>
    <t>Literacy education for non-literate learners of additional languages: social, cognitive, linguistic, and teaching aspects; [Alfabetización escolar en aprendientes de lenguas adicionales no alfabetizados: aspectos sociales, cognitivos, lingüísticos y pedagógicos]</t>
  </si>
  <si>
    <t>Literacy; Migration; School; Spanish as an additional language</t>
  </si>
  <si>
    <t>This article is framed in Applied Linguistics to the teaching-learning of Spanish as an additional language (SAL). It focuses particularly on the variables involved in the process of acquisition of reading and writing of non-Spanish-speaking adolescents in Chilean schools. This work aims to present a descriptive literature review that addresses cognitive, social, linguistic, and teaching aspects involved in the process of acquiring an additional language by non-literate adolescents. Although in this paper the emphasis will be on Haitian adolescents who are part of Chilean schools, our general objective is to emphasize early detection of late literacy and formal learning of Spanish as an additional language in Chilean schools in adolescents. Based on our review, we offer suggestions such as the early detection of nonliterate students, the promotion of motivation, and the work with emotions in communication. © Universidad de Alcalá</t>
  </si>
  <si>
    <t>10.37536/LYM.14.2.2022.1386</t>
  </si>
  <si>
    <t>Velasquez-Burgos, Rodrigo</t>
  </si>
  <si>
    <t>Citizenship education policies and immigration in Chile. A dispositive analysis</t>
  </si>
  <si>
    <t>POLICY FUTURES IN EDUCATION</t>
  </si>
  <si>
    <t>Citizenship education; migration; education policy; dispositive; governmentality</t>
  </si>
  <si>
    <t>In several countries where immigration influxes have changed or increased, citizenship education policies have been strengthened as a way to build social cohesion. In this paper, I took the case of Chile to explore citizenship education policies throughout their references towards immigration. Methodologically, I use the Foucauldian notion of dispositive as an analytical tool to explore the knowledge-power network that shapes citizenship education. I took samples of public opinions, educational documents and reports, and legal documents as part of the heterogeneity that shape the dispositive. These samples come from Chilean magazines, newspapers, and documents released by educational institutions as well as laws. Findings indicate that, if viewed from how it references immigration, the dispositive of citizen education in Chile works as a managerial dispositive of cultural differences; one that places immigrants themselves as commodities. In current neoliberal times, where capitalism multiplies differences and produces cultural commodities, citizenship education works as a technique of governing at a distance to administrate such differences.</t>
  </si>
  <si>
    <t>10.1177/14782103211066665</t>
  </si>
  <si>
    <t>Vélez-Vélez R.; Villarrubia-Mendoza J.</t>
  </si>
  <si>
    <t>Interpreting mobilization dynamics through art: A look at the DREAMers Movement</t>
  </si>
  <si>
    <t>Current Sociology</t>
  </si>
  <si>
    <t>Art; DREAM Act; DREAMers; migration; social movements</t>
  </si>
  <si>
    <t>Most research on art and social movements focuses on the representational aspect of art, leaving untouched how artwork informs audiences and actors on the mobilization dynamics permeating the field of action. In this article the authors contend that the analysis of art in social movements should pursue the ways in which collective actors place art as part of their interpretative lens to act upon changing social conditions. The article’s analysis of art around the DREAMers Movement suggests that artwork allows for movement actors to change the limits of their cultural context and affect the repertoires of articulations conceived within that context. This analysis moves beyond the notions of art as representation and presents art as a field to challenge the forms and dynamics of mobilization. © The Author(s) 2018.</t>
  </si>
  <si>
    <t>10.1177/0011392118807517</t>
  </si>
  <si>
    <t>Venegas, Viviana Rodriguez; Hidalgo, Cory Duarte</t>
  </si>
  <si>
    <t>Ethnographic experience with/about Colla women: parenting and care practices</t>
  </si>
  <si>
    <t>This article presents an ethnographic study that investigates the care practices and experiences of raising Colla women in the Atacama region, Chile. The research is positioned from the feminist ethnography, since it is lo-cated and focused on the participants, recognizing them as cultural creators. The main results show varied knowledge and care practices associated with the upbringing of boys and girls, as well as life stories from the Andes that shape their upbringing and their new ways of (re) signifying care. The main conclu-sion is that care practices are historically constructed and embodied in the bo-dies and collective memory of Colla women, which are configured as ancestral knowledge. This allows them to position themselves as a cultural transmitter in their indigenous communities, being the mountain range tradition, forced migration, community life, collective motherhood and patriarchal violence key issues in their discourse.</t>
  </si>
  <si>
    <t>10.7770/CUHSD-V33N1-ARTH25</t>
  </si>
  <si>
    <t>Vera Espinoza, Marcia; Prieto Rosas, Victoria; Zapata, Gisela P.; Gandini, Luciana; Fernandez de la Reguera, Alethia; Herrera, Gioconda; Lopez Villamil, Stephanie; Zamora Gomez, Cristina Maria; Blouin, Cecile; Montiel, Camila; Cabezas Galvez, Gabriela; Palla, Irene</t>
  </si>
  <si>
    <t>Towards a typology of social protection for migrants and refugees in Latin America during the COVID-19 pandemic</t>
  </si>
  <si>
    <t>COMPARATIVE MIGRATION STUDIES</t>
  </si>
  <si>
    <t>Latin America; Covid-19; Social protection; Migrants; Refugees; Migration governance; Inclusion; Exclusion; Migration policy</t>
  </si>
  <si>
    <t>The COVID-19 health crisis has put to the test Latin America's already precarious social protection systems. This paper comparatively examines what type of social protection has been provided, by whom, and to what extent migrant and refugee populations have been included in these programmes in seven countries of the region during the COVID-19 pandemic, between March and December 2020. We develop a typology of models of social protection highlighting the assemblages of actors, different modes of protection and the emerging migrants' subjectification in Brazil, Chile, Colombia, Ecuador, Mexico, Peru, and Uruguay in relation to Non-Contributory Social Transfer (NCST) programmes and other actions undertaken by state and non-state actors. The analysis is based on 85 semi-structured interviews with representatives of national and local governments, International Organisations, Civil Society Organisations, and migrant-led organisations across 16 cities, and a systematic review of regulatory frameworks in the country-case studies. The proposed typology shows broad heterogeneity and complexity regarding different degrees of inclusion of migrant and refugee populations, particularly in pre-existing and new NCST programmes. These actions are furthering notions of migrant protection that are contingent and crisis-driven, imposing temporal limitations that often selectively exclude migrants based on legal status. It also brings to the fore the path-dependent nature of policies and practices of exclusion/inclusion in the region, which impact on migrants' effective access to social and economic rights, while shaping the broader dynamics of migration governance in the region.</t>
  </si>
  <si>
    <t>10.1186/s40878-021-00265-x</t>
  </si>
  <si>
    <t>Vergani M.; Navarro C.; Freilich J.D.; Chermak S.M.</t>
  </si>
  <si>
    <t>Comparing Different Sources of Data to Examine Trends of Hate Crime in Absence of Official Registers</t>
  </si>
  <si>
    <t>American Journal of Criminal Justice</t>
  </si>
  <si>
    <t>Chile; Hate crime; Hate incidents; Hate measurement</t>
  </si>
  <si>
    <t>Whether hate crime against minority groups increases or decreases over time underpins important theoretical and policy questions. However, the ability to capture trends is limited due to a dearth of data and measurement problems, especially in countries where there is no official register of hate crime. Using Chile as a case study, we compare longitudinal data from victimization surveys, registers of community organizations and mainstream media reports. The results allow us to discuss opportunities and limitations of triangulating different data sources to capture trends of hate crime. Our study results show a general increase in trends of hate crimes in Chile between 2015 and 2019, but important differences between data sources and victim groups (we consider LGBTI, migrant and Indigenous victims). We propose that the qualitative difference in the size of variation across different sources is explained by different biases of the data, which we review. This article illustrates the importance of disaggregating hate crimes because trends, correlates and key predictors often differ depending on the type of hate crime and the source of data. © 2020, Southern Criminal Justice Association.</t>
  </si>
  <si>
    <t>10.1007/s12103-020-09567-9</t>
  </si>
  <si>
    <t>Vergara Erices, Luis Alejandro</t>
  </si>
  <si>
    <t>Globalización neoliberal y los cambios de una ciudad pequeña: el caso de Angol, Chile</t>
  </si>
  <si>
    <t>Estudios sociales (Hermosillo, Son.)</t>
  </si>
  <si>
    <t>neoliberalism; small towns; urban development; segregation; Angol; Araucanía</t>
  </si>
  <si>
    <t>This paper seeks to analyze the effects and urban transformations that occurred during the period of globalization in the small town of Angol. This city is located in the Araucania Region, Chile. The results show that the neoliberal globalization has modernized agriculture; forest plantations expanded and strengthened the service sector of the commune giving continuity to processes of rural-urban migration. While the older sectors of the city are experiencing urban renewal, those outlying districts have expanded spatial and demographic thanks to the construction of social housing, an issue which has resulted in increased small-scale segregation without urban fragmentation, or functional disintegration due to the trend towards policentralización triggered by neoliberal globalization.</t>
  </si>
  <si>
    <t>Vergara P.I.R.; Guerrero C.C.L.; Pedemonte N.R.; Rojas F.R.</t>
  </si>
  <si>
    <t>Relational Inclusion of Immigrant People in Chile: Towards a Model of Statistical Measurement; [Inclusión relacional de personas migrantes en Chile: hacia un modelo de medición estadístico]</t>
  </si>
  <si>
    <t>Chile; cohabitation; Latin America; relational inclusion; rootedness</t>
  </si>
  <si>
    <t>This article presents an exercise whose objective is to measure the quality of the daily relationships experienced by the migrant population in Chile, based on the 2019 Voces Migrantes survey, which is representative at a national level. From an intercultural perspective, a statistical index of relational inclusion (INIR, for its acronym in Spanish) is proposed that addresses three dimensions: settling in Chile, coexisting with the receiving society, and the presence of support networks. The main results show three fundamental elements for the experiences of inclusion of migrants in Chilean society: projected time in the receiving country, having experienced discrimination, and having local support networks. It also highlights the prevalence of low INIR scores among migrants without residence permits and those born in Haiti. This index was developed from an exploratory and confirmatory factor analysis that presents important strengths and elements to be adjusted in future studies. © 2022, El Colegio de la Frontiera Norte. All rights reserved.</t>
  </si>
  <si>
    <t>10.33679/rmi.v1i1.2465</t>
  </si>
  <si>
    <t>Vergara, Catalina Fernandez; Quinones-Campos, Natalia</t>
  </si>
  <si>
    <t>Affections, hopes and resistance: LGBT+ migrant activismsin Chile</t>
  </si>
  <si>
    <t>sffectivity; LGBT+; migration; resistance</t>
  </si>
  <si>
    <t>LGBT+ migratory experiences are crossed by multiple experiences linked to violence and inequalities during their journey to destination countries, as well as possibilities of resistance against them. This article seeks to understand the intrinsic relationship between power and resistance in a context where heterocisnorm is a central axis. Through the approach of linking the different dimensions of the affective as a relevant element within the study of LGBT+ migrations. From the analysis, it is found that affections are an element of motivation to resist, but that it is also linked to emotional exhaustion. At the same time, different temporalities are articulated from a notion of hope that understands the past from a perspective that reveals its agency capacity in social change.</t>
  </si>
  <si>
    <t>10.47456/simbitica.v10i2.40035</t>
  </si>
  <si>
    <t>VERGARA, FRANCISCA; CAMPOS, JORGE; FARÍAS, CAMILO</t>
  </si>
  <si>
    <t>La persistencia del «Vivir como mapuche»: Una aproximación a la identidad étnica de la comunidad mapuche Folil Mapu, en la Región del Maule, Chile</t>
  </si>
  <si>
    <t>Ethnic identity; migration; Mapuche community; Maule región</t>
  </si>
  <si>
    <t>Through an exploratory study carried out from an ethnographic approach, set out to identify how has been configured the ethnic identity of the mapuche community FolilMapu, who currently resides in the commune of Curico, in the region of Maule, Chile. To address this process, be contemplated four fundamental categories of analysis from which the mapuche migration is studied: a) ethnic identity, b) ethnicity, c) collective memory and d) ethnification-ethnogenesis. The results obtained show a consistent cultural continuity based on the strengthening of the mapuche identity between migrants, who overcame the own disadvantages which carries with it the migration process for reasons of unemployment, and the reconfiguration of their networks and social relations in the receiving city. In this way, describes significant aspects about the process of formation of this commu-nity, the first indigenous community of the region of Maule, and how, in an urban context, its members have built spaces and speeches about living as a mapuche.</t>
  </si>
  <si>
    <t>Vickers T.; Clayton J.; Davison H.; Hudson L.; A Cañadas M.; Biddle P.; Lilley S.</t>
  </si>
  <si>
    <t>Dynamics of precarity among ‘new migrants’: exploring the worker–capital relation through mobilities and mobility power</t>
  </si>
  <si>
    <t>Asylum; EU; migration; mobility power; precarity; refugees; UK</t>
  </si>
  <si>
    <t>This article conceptualises the role of mobilities within precarious working and living conditions, drawing on qualitative analysis of interviews (n = 52) and a policy seminar (n = 50) in North-East England. It focuses on refugees, asylum seekers, and Eastern European EU migrants, as policy-constructed groups that have been identified as disproportionately concentrated in precarious work. The article develops three ‘dynamics of precarity’, defined as ‘surplus’, ‘rooted’, and ‘hyper-flexible’, to conceptualise distinct ways of moving that represent significant variations in the form that precarity takes. The article concludes that understanding precarity through mobilities can identify points of connection among today’s increasingly heterogeneous working class. © 2019, © 2019 Informa UK Limited, trading as Taylor &amp; Francis Group.</t>
  </si>
  <si>
    <t>10.1080/17450101.2019.1611028</t>
  </si>
  <si>
    <t>Viet Nguyen C.; Hoang Vu L.</t>
  </si>
  <si>
    <t>Does Parental Absence Harm Children’s Education? Evidence from Vietnam</t>
  </si>
  <si>
    <t>Journal of Asian and African Studies</t>
  </si>
  <si>
    <t>Children’s education; divorce; migration; parental absence; Vietnam</t>
  </si>
  <si>
    <t>This study analyzes the impacts of parental absence due to migration, death, or divorce on children’s school enrollment in Vietnam. We find children from two-parent families have a better chance of enrolling at all levels of education than those from single-parent families. Within single-family types, the negative effect on children of parental divorce is higher than that of parental death, while the effect of parental migration is the lowest. We find that children living with a single mother tend to have higher school enrollment than those living with a single father, indicating the critical role of mothers in children’s education. JEL Classification: I1, I2, O1. © The Author(s) 2023.</t>
  </si>
  <si>
    <t>10.1177/00219096231176739</t>
  </si>
  <si>
    <t>Villacieros, Iciar</t>
  </si>
  <si>
    <t>Acculturative stress impact and symptomatology on migrant's adolescents at Arica and Antofagasta, Chile</t>
  </si>
  <si>
    <t>REVISTA ESPANOLA DE EDUCACION COMPARADA</t>
  </si>
  <si>
    <t>Migrations; adolescents; acculturative stress; symptomatology</t>
  </si>
  <si>
    <t>The aim of this study was to analyze the relationship between acculturation stress and symptomatology in migrant adolescents from Peru, Bolivia and Colombia living in Chile. The final sample consisted of 146 participants between the ages of 11 and 17 (M=13.77, DT=2.01). Of these, 47.9% (N=70) are men and 52.1% (N=76) are women settled in Arica and Antofagasta (Chile). The results show statistically significant relationships between the two scales (r=.488, p&lt;.01). The relationships between internal symptoms and discrimination (r=.461, p&lt;.01) and internal symptoms and longing and nostalgia for the country of origin (r=.402, p&lt;.01) stand out. External symptoms correlated with feeling family broken (r=.381, p&lt;.01). Internal symptomatology was the dimension with the greatest relationship to the total stress scale (r=.477, p&lt;.01). Finally, the usefulness of the results, their limitations and applications are discussed.</t>
  </si>
  <si>
    <t>10.5944/reec.35.2020.25107</t>
  </si>
  <si>
    <t>Villalobos Albornoz, Omar</t>
  </si>
  <si>
    <t>Towards an ethic of loyalty to the visible: rethinking intercultural education in the context of cross-border migration</t>
  </si>
  <si>
    <t>ethics of loyalty to the visible; cross-border migration; venezuelan migrant; intercultural education</t>
  </si>
  <si>
    <t>According to recent history, education in the bordering areas of our country today faces an evident cross-border migration that reconfigures the contiguous space, leading us to a context of humanitarian emergency. From now on, the crossing of hundreds of people and families of Venezuelan origin in the Tarapaca region through the unauthorized Colchane crossing is a relevant issue in the field of border studies. This leads us to reflection from an interdisciplinary approach, where intercultural education, ethics, and critical geography come together in the inescapable presence of the migrant. In this sense, we consider it necessary to reconsider intercultural education from a new subject without leaving aside the fundamental acts that an ethic of loyalty to the visible offers as an alternative to an ethic of the border founded so far on inequality and difference to the detriment of the migrant. Although this research is presented as a philosophical reflection, there is no hesitation in resorting to the study of documentary sources in the regional written press, including informative notes on different virtual platforms to demonstrate the local consequences of an irregular migration that has the migrant Venezuelan as its main protagonist.</t>
  </si>
  <si>
    <t>Villalobos Martínez, Alejandro; Sanhueza Henríquez, Susan; Norambuena Carrasco, Carmen</t>
  </si>
  <si>
    <t>Migración y territorialidad: aportes para la construcción de modelos educativos interculturales</t>
  </si>
  <si>
    <t>Migration; Intercultural; Territoriality; Education; Guettos</t>
  </si>
  <si>
    <t>This article aims to examine some theoretical and conceptual aspects of the idea of territory and territoriality in relation to the issue of migration as a multicausal phenomenon, oriented to see how territories are prepared educationally in the face of these migratory processes. We focus on analyzing some socio-demographic characteristics of the Maule region in Chile, an agro-industrial region with little economic development at the national level, but an alternative for the migrant population that perceives opportunities for integration in Chile. Clearly, it is education, in societies like ours, the indispensable instrument for the construction of more inclusive and supportive societies. The final reflections aim to contribute with orientations for the construction of intercultural educational models, in a context of recognition of the conventions and treaties that safeguard Human Rights and especially the rights of children.</t>
  </si>
  <si>
    <t>33</t>
  </si>
  <si>
    <t>Villar, Ariany da Silva; Padilla, Beatriz; Sharim, Dariela</t>
  </si>
  <si>
    <t>Entre la agencia y el estigma: negociaciones identitarias de brasileñas/os en Santiago de Chile desde una perspectiva Biográfica-Interseccional</t>
  </si>
  <si>
    <t>Brazilian migration; South-South Migration; Intersectionality; Corporality; Identity</t>
  </si>
  <si>
    <t>Abstract This article explores how intersections of gender, race, and nationality influence both the migration experience and identity processes of Brazilians living in Santiago, Chile. We use a biographical-intersectional analysis of their migratory trajectories collected with the Life Stories Method, in-depth interviews, and Fotohistorias (participatory photography). The analysis suggests that Brazilian female corporality, represented especially by Afro-descendant women, becomes simultaneously an icon of a sexualized Brazilianness and a device of agency and identity negotiations.</t>
  </si>
  <si>
    <t>10.1590/18094449202100630005</t>
  </si>
  <si>
    <t>Vilmondes M.</t>
  </si>
  <si>
    <t>Accountability relations in social housing programs: A comparative legal analysis of Brazilian and Chilean case studies</t>
  </si>
  <si>
    <t>Accountability Relations in Social Housing Programs: A Comparative Legal Analysis of Brazilian and Chilean Case Studies</t>
  </si>
  <si>
    <t>Accountability; Brazil; Chile; International development legal studies; Social housing</t>
  </si>
  <si>
    <t>Institutional crises the Latin America are seldom not rooted in the lack of accountability. uman rights' violations both increase and are increased by those institutional weaknesses. This research evidenced that vicious cycle: despite impressive social housing programs in size and goals, the lack of adequate housing particularly affects the most-poor because of weak legal and institutional structures. The comparison of legal accountability relations in the urban social housing ownership models Minha Casa, Minha Vida, from Brazil, and D.S. 49, D.S. 1, and D.S. 19, from Chile, revealed several of those inconsistencies, but also advised on concrete solutions to their accountability relations inspired by the rights-based approach. Policies fall short on the delegation of responsibilities to duty-bearers, whose weak obligations to inform, justify or respond neutralizes concrete chances of enforcing redress or grievance. Victims of discrimination and without access to the minimum existencial, the most-vulnerable remain marginalized by the system that oughts to care for them. The solution is obvious: the respect, protection and fulfillment of human rights must be used as means and goals of those or any other policies and institutional structures. © Logos Verlag Berlin GmbH 2022.</t>
  </si>
  <si>
    <t>10.30819/5488</t>
  </si>
  <si>
    <t>Vindegg M.</t>
  </si>
  <si>
    <t>Borderline politics: Reading Nepal-India relations as ‘energohistory’</t>
  </si>
  <si>
    <t>blockade; energy; labour; migration; south Asia; sovereignty</t>
  </si>
  <si>
    <t>This article takes recent work on energy into an historical analysis of Nepal-India border relations to reveal the consequences of unequal geopolitical positions between Nepal and India. This helps explain the recurrent tensions between the countries, despite their cultural and historical closeness. The article makes two independent but mutually supporting arguments. First, the concept ‘energopower’ would be productively expanded by more clearly encompassing labour as a form of energy supply. Second, bringing this perspective to bear in historical analyses of energy exchange and labour migration makes a timely contribution to historical anthropology. I suggest that this framing be called ‘energohistory’. This is put into practice through historical analyses of Indian trade ‘blockades’ on Nepal and through two case studies on the exchange of energy commodities and labour between the countries. ‘Energohistory’ reveals how energopower melds with biopower, from the past through to the present, flowing through high state politics to the level of everyday discourse. © 2022 The Author(s). Published by Informa UK Limited, trading as Taylor &amp; Francis Group.</t>
  </si>
  <si>
    <t>10.1080/02757206.2022.2119229</t>
  </si>
  <si>
    <t>Vivallos Espinoza, Carlos; Brito Pena, Alejandra</t>
  </si>
  <si>
    <t>IMMIGRATION AND POPULAR SECTORS IN THE COAL MINES OF LOTA AND CORONEL (CHILE 1850-1900)</t>
  </si>
  <si>
    <t>Migration; popular sectors; coal mining; Lota and Coronel; Chile</t>
  </si>
  <si>
    <t>This work seeks to rebuild the first population movements towards the coal mines of Lota and Coronet in the second half of the 19(th) century, starting from the information contained in the marriage registers of Coronet's chapel. This process developed in three consecutive steps, reaching a stabilization point towards the first years of the decade of the 1870s. Finally, the increase of the population is closely related to productive diversity and the modernization of the mining cities.</t>
  </si>
  <si>
    <t>Voltarelli, Monique Aparecida; Pavez Soto, Iskra; Derby, Joanna</t>
  </si>
  <si>
    <t>Childhood migration and pandemic: the Latin American crisis</t>
  </si>
  <si>
    <t>LINHAS CRITICAS</t>
  </si>
  <si>
    <t>Migration; Sociology of childhood; Times of crisis; Pandemic</t>
  </si>
  <si>
    <t>The article reflects upon the COVID19 pandemic's impact on Latin American migrant children, through a Sociology of Childhood Perspective and in the global context of crisis. Drawing on a documentary analysis, the results showed that confinement has negatively affected children's mental health, although they can also become infected with the virus; it is noted that most countries have implemented distance education programs, but excluded families do not have material conditions (such as access to the internet and computers), heightening social inequalities. It is concluded that the pandemic has changed the lives of migrant children and further scientific studies and public policies are recommended.</t>
  </si>
  <si>
    <t>e36298</t>
  </si>
  <si>
    <t>10.26512/lc.v26.2020.36298</t>
  </si>
  <si>
    <t>von Bloh, Johannes; Mandakovic, Vesna; Apablaza, Mauricio; Amoros, Jose Ernesto; Sternberg, Rolf</t>
  </si>
  <si>
    <t>Transnational entrepreneurs: opportunity or necessity driven? Empirical evidence from two dynamic economies from Latin America and Europe</t>
  </si>
  <si>
    <t>Transnational entrepreneurship; entrepreneurial ecosystem; Chile; Germany; opportunity driven; global entrepreneurship monitor; institutions</t>
  </si>
  <si>
    <t>Transnational Entrepreneurship (TE) is an increasingly important phenomenon, symptomatic for a globalised world with a large extent of migrants and interchanges between their countries of origin and residence. Our article deploys a unique data set which compares TE for two different national contexts and institutional settings: Chile and Germany. Using data from 2016 and 2017 Adult Populations Surveys (APS) of the Global Entrepreneurship Monitor (GEM), we relate the probability of being an opportunity-driven entrepreneur with the condition of being a transnational entrepreneur. Our findings suggest that varying institutional settings attract or form different types of TE. While Chile seems to attract mainly opportunity-driven TE, TE in Germany reveals strong evidence of necessity-driven TE. In addition, we explore different traits on the probability of being involved in TE based on the presumption that transnational entrepreneurs show signs of higher opportunity recognition and network embeddedness and can thereby be a major driver of entrepreneurial ecosystems as well as act as linkages between different national systems.</t>
  </si>
  <si>
    <t>10.1080/1369183X.2018.1559996</t>
  </si>
  <si>
    <t>Voorend K.; Bedi A.S.; Sura-Fonseca R.</t>
  </si>
  <si>
    <t>Migrants and access to health care in Costa Rica</t>
  </si>
  <si>
    <t>Central America; Costa Rica; Healthcare; Migration; Nicaragua</t>
  </si>
  <si>
    <t>As in most immigrant-receiving countries in the global North, countries in the South face challenges regarding migrant access to social rights and the effect of migrants on the sustainability of the welfare state. In the Latin American context, this holds especially for countries such as Costa Rica, which has one of the strongest social policy regimes in the South and the highest (Nicaraguan) immigrant stock in Latin America. Set in the context of Costa Rica, this paper assesses two views which seem hard to reconcile, and, are common in the country. First, it is claimed that Nicaraguan migrants use public health services disproportionately, thereby threatening the country's welfare system. Second, pro-migrant rights non-governmental organizations and academics are concerned, primarily based on qualitative studies, that access to health services for Nicaraguan immigrants is limited, and that they are discriminated based on nationality. This paper relies on administrative data and a unique data set representative of Nicaraguan born individuals residing in Costa Rica to examine the validity of both these claims. We do not find support for either. The incidence of migrant health care use is lower than their share in the population and at the same time there is no evidence of discrimination in health care access for migrants based on their nationality. The paper underlines the need for more informed migration debates. © 2021 The Author(s)</t>
  </si>
  <si>
    <t>10.1016/j.worlddev.2021.105481</t>
  </si>
  <si>
    <t>Voorend K.; Sura-Fonseca R.</t>
  </si>
  <si>
    <t>From rights to reality differentiated access between nationals and Nicaraguan migrants to Costa Rica's health services; [De derechos a hechos. El acceso diferenciado entre nacionales y migrantes Nicaragüenses a los servicios de salud en Costa Rica]</t>
  </si>
  <si>
    <t>Costa Rica; Exclusion; Health services; Implementation deficit; Migration; Social policy</t>
  </si>
  <si>
    <t>Like in other parts of the world, the incorporation of migrants in public health services creates tension in Costa Rica. In this article, based on primary data from a representative survey among Nicaraguan immigrants, we evaluate migrants' actual access to public health services, with special interest in the importance of nationality, immigration status and medical insurance. The findings suggest that access to public health services between nationals and migrants is stratified, which underscores the general importance of analyzing the praxis of social rights, and not just formal entitlements. © 2019, Universidad Pontificia de Comillas.</t>
  </si>
  <si>
    <t>10.14422/i46.y2019.005</t>
  </si>
  <si>
    <t>Wang C.; Wang Y.; Tian Y.; Chen S.</t>
  </si>
  <si>
    <t>Spatial Patterns and Determinants of Village Abandonment in the Mountainous Areas of China</t>
  </si>
  <si>
    <t>Abandoned village; Accessibility; China; Determinant; Migration; Public goods</t>
  </si>
  <si>
    <t>The phenomenon of village abandonment has occurred during the past decades as an extreme result of rural migration in many developing countries. It has brought about many socio-economic and environmental problems, such as farmland abandonment, decapitalization of properties, rural economic stagnation or decline, disappearance of rural settlements, secondary vegetation succession, landscape homogenization and increasing risks of wild fires. Village abandonment has been happening widely in mountainous areas of China in response to increasing urbanization and industrialization. But the spatial patterns and determinants of village abandonment are not well understood. The aim of this study is to investigate the spatial patterns of abandoned villages using Kernel Density analysis, and to identify determinants of village abandonment using the Ordinary Least Square regression based on a case study in Pucheng County, Southeast China. Our results show that abandoned villages mainly agglomerate in some scattered kernels with higher elevations and poor accessibility or with thriving local industrialization and Insitu urbanization. These results corroborate previous findings elsewhere. Research on determinants identifies that public goods provision and accessibility are the most important predictors to explain substantial variations in village abandonment. Remote villages with poor public goods provision (such as road, healthcare and education) and poor accessibility are most possibly abandoned. With projected increasing concentration of elementary schools in townships and cities and rising urbanization, village abandonment is likely to increase in remote rural areas. However, natural conditions are surprisingly the least significant determinants, which is contrary to previous studies. In addition, hamlet size and the progress on characteristic agriculture have some negative impacts on village abandonment. Finally, several research prospects and policy implications on village abandonment have been proposed to promote future studies and rural sustainability respectively. © 2021, The Author(s), under exclusive licence to Springer Nature B.V.</t>
  </si>
  <si>
    <t>10.1007/s11205-021-02695-7</t>
  </si>
  <si>
    <t>Wang C.; Zhang Y.; Yang Y.; Yang Q.; Hong J.</t>
  </si>
  <si>
    <t>What is driving the abandonment of villages in the mountains of Southeast China?</t>
  </si>
  <si>
    <t>Land Degradation and Development</t>
  </si>
  <si>
    <t>farmland abandonment; land degradation; migration; rural depopulation; rural poverty</t>
  </si>
  <si>
    <t>In recent decades, village abandonment as a result of migration from rural areas constitutes a serious socioeconomic problem in China and many other developing countries. The aim of this study is to identify the drivers of village abandonment in the mountain areas of Southeast China. Pucheng County was selected as the study case. A conceptual framework for the primary drivers of village abandonment was established to link rural depopulation, farmland abandonment, and house abandonment, which are three integral parts of village abandonment. Results show that the intense rural–urban migration propelled by new urban economic opportunities is the most significant driver of sparse rural population distribution, though this does not usually result in the straightforward abandonment of villages. Instead, the scarcity of public services in mountain villages is a decisive factor in local resettlement and resultant village abandonment. Limited school access and a demand for high-quality education is the foremost and most immediate motivation for rural–town migration and resettlement in townships, which directly leads to the substantial abandonment of mountain settlements. Additionally, isolation, higher transportation costs, and non-viability of traditional subsistence agriculture are minor drivers that are interwoven, aggravating the abandonment of remote villages. Our study highlights the aggregated characteristics of village abandonment and heterogeneity of rural migration and its corresponding primary drivers. These findings will have significant policy implications for decision makers by helping to identify areas with a high probability of village abandonment and predict the future magnitude of intra-county migration and subsequent in situ urbanization. © 2019 John Wiley &amp; Sons, Ltd.</t>
  </si>
  <si>
    <t>10.1002/ldr.3303</t>
  </si>
  <si>
    <t>Warren S.D.</t>
  </si>
  <si>
    <t>Indigenous in the city: the politics of urban Mapuche identity in Chile</t>
  </si>
  <si>
    <t>authenticity; Chile; citizenship; identity; Indigenous; urban</t>
  </si>
  <si>
    <t>In this article, I analyse how urban Mapuche indigenous organizations in Chile conduct politics, both externally in relation to the state and internally in relation to other Mapuches. I suggest that the state creates the context for their politics through enacting centuries of policies that put Mapuche identity ‘under siege’. My analysis shows that urban Mapuche organizations respond to this context in three central ways. Some organizations refuse the moniker ‘urban’ and are temporarily urban. Others embrace their urbanity and are adamantly urban. Still others try to overcome the rural-urban divide to become reconciled urban. Each of these strategies deploys ideas of authenticity in different ways, opening possibilities for different kinds of political alliances. My research argues that when the stakes are high for claiming a racial or ethnic identity, choosing which aspects of identity on which to base political demands has profound political consequences. © 2016 Informa UK Limited, trading as Taylor &amp; Francis Group.</t>
  </si>
  <si>
    <t>10.1080/01419870.2016.1181772</t>
  </si>
  <si>
    <t>Webb A.</t>
  </si>
  <si>
    <t>Getting there and staying in: first-generation indigenous students’ educational pathways into Chilean higher education</t>
  </si>
  <si>
    <t>International Journal of Qualitative Studies in Education</t>
  </si>
  <si>
    <t>Chile; habitus; Higher education; Indigenous; social capital</t>
  </si>
  <si>
    <t>Drawing on a total of 26 life history interviews with indigenous students in higher education, the article examines the role of activating valued resources and personal strategies to navigate unequal pathways into higher education. In Chile, the historical inequalities for indigenous people’s access to higher education are beginning to be reverted, but these changes misrecognize ongoing disadvantages in regard to experiencing university life. Selection choices regarding the institution and course are based on restricted information sources and prior knowledge, whilst the capital required to succeed is heavily biased toward higher socioeconomic backgrounds. This notwithstanding, students’ transitions into higher education are marked by spontaneous adaptations to work routines, managing crises, and the activation of other resources for ‘staying in’. Emphasis is placed on the resilience expressed by these young people, as the first-generation from their families to access higher education, to negotiate cumulative disadvantages from low-quality educational establishments and poverty. © 2018, © 2018 Informa UK Limited, trading as Taylor &amp; Francis Group.</t>
  </si>
  <si>
    <t>10.1080/09518398.2018.1488009</t>
  </si>
  <si>
    <t>Re-working everyday concepts of civic virtue and ethnic belonging among indigenous youth in Chile</t>
  </si>
  <si>
    <t>Journal of Youth Studies</t>
  </si>
  <si>
    <t>Chile; citizenship; education; everyday ethnicity; Mapuche</t>
  </si>
  <si>
    <t>This article discusses Mapuche adolescents' everyday articulations of civic virtue and ethnic belonging by juxtaposing their participation in their communities, schooling and civil society at large. It situates the youth within the exclusionary practices of education and broader society, and in the context of Chile's recent history of expanding youth civic participation. Chile is a highly racialised country and indigenous pupils experience altogether different modalities of inclusion and belonging compared to non-indigenous peers. Focus groups and interviews conducted during 2007-2008 are drawn on to explore how ideals of civic belonging are negotiated by those on the margins of society as a result of their schooling experiences and exposure to worldwide youth cultures. The article questions the ability of national schooling to produce a consistent discourse regarding a culturally diverse citizenry given that its practices are on the whole exclusionary towards Mapuche pupils. I argue instead that Mapuche youth construct a notion of the 'good citizen' from their home communities which respond to, and discursively resist, society's exclusionary values. © 2013 © 2013 Taylor &amp; Francis.</t>
  </si>
  <si>
    <t>10.1080/13676261.2013.853873</t>
  </si>
  <si>
    <t>Webb A.; Alvarez P.</t>
  </si>
  <si>
    <t>Counteracting Victimization in Unequal Educational Contexts: Latin American Migrants’ Friendship Dynamics in Chilean Schools</t>
  </si>
  <si>
    <t>Equity and Excellence in Education</t>
  </si>
  <si>
    <t>Chile; educational inequality; migrant youth; school friendship; social capital; victimization</t>
  </si>
  <si>
    <t>This article addresses the role of friendship dynamics among newcomer Latin American migrant youth during their transitions to Chilean secondary schools. Drawing on qualitative life history interviews, we discuss ethnic minority well-being in two high-ethnic mix schools, and how power inequalities and racial discrimination are managed through social capital in the courtyard. In particular, we demonstrate the importance of ethnic diversity for counteracting victimization. We found few instances of internal segregation (homogenous or bonding forms of friendship groups); instead cross-ethnic friendships were more common, enabling participants to navigate gendered and class-based cleavages within the schools. Although concentrations of ethnic students in low-quality municipal schools represent deeper social justice issues, the research argues for the need to move beyond dichotomized notions of integration and segregation. Creating greater equity in these spaces, we suggest, does not depend on ethnic mix, but on the opportunities to develop social capital support. © 2019, © 2019 University of Massachusetts Amherst College of Education.</t>
  </si>
  <si>
    <t>10.1080/10665684.2019.1582377</t>
  </si>
  <si>
    <t>Webb A.; Canales A.; Becerra R.</t>
  </si>
  <si>
    <t>Denying systemic inequality in segregated Chilean schools: race-neutral discourses among administrative and teaching staff</t>
  </si>
  <si>
    <t>Race Ethnicity and Education</t>
  </si>
  <si>
    <t>Chile; color-blind racism; Educational inequality; Mapuche; segregation; silencing</t>
  </si>
  <si>
    <t>This article addresses the educational context in which ethnically segregated high poverty schools operate in Chile, and the ways that inequalities within these establishments are understood by members of their administrative and teaching staff. In particular we draw attention to the unwillingness of the majority of these employees to name or recognize specific forms of institutional inequality. Following critical pedagogy literature we argue that the Chilean education system reproduces a fear of talk among teachers working in areas with high density indigenous populations, which obscures unequal social structures and opportunities for specific (class, gender, ethnic) groups in school contexts. Based on data from 12 interviews with school staff and observations from four schools in southern Chile, we analyze how intersecting inequality is discursively reduced by predominantly white teachers to individual deficit, de-politicized geographical problems of access to schooling, and the normalizing of low achievement across schools with students from similar backgrounds. © 2017, © 2017 Informa UK Limited, trading as Taylor &amp; Francis Group.</t>
  </si>
  <si>
    <t>10.1080/13613324.2017.1417254</t>
  </si>
  <si>
    <t>Weinthal E.; Zawahri N.; Sowers J.</t>
  </si>
  <si>
    <t>Securitizing Water, Climate, and Migration in Israel, Jordan, and Syria</t>
  </si>
  <si>
    <t>International Environmental Agreements: Politics, Law and Economics</t>
  </si>
  <si>
    <t>Climate change; Migration; Refugees; Securitization; Water</t>
  </si>
  <si>
    <t>Protracted droughts and scarce water resources, combined with internal and cross-border migration, have contributed to the securitization of discourses around migration and water in much of the Middle East. However, there is no clear understanding of the conditions under which water, climate change, and migration are conceived of as security concerns or of their policy implications. This article explores the different means through which Israel, Jordan, and Syria have framed issues of water, climate change, and migration as national security concerns. Based upon an analysis of governmental and publicly available documents, coupled with field interviews with Israeli and Jordanian policymakers, experts, and nongovernmental organizations, we identify two different framings of the water–climate–migration nexus, depending on whether migration is largely external or internal. In Israel and Jordan, concern with influxes of external migrants elevated migration as a security issue in part through impacts on already-scarce water resources. In Syria, where severe drought in the early 2000s prompted large-scale internal migration, officials downplayed connections between scarce water resources, drought, and internal migration, part of a broader pattern of rural neglect. Unlike much of the conventional literature that has posited a linear relationship between climate change, decreasing water availability, and migration, we provide a more robust picture of the water–climate–migration nexus that shows how securitized framings take different forms and produce several unintended consequences. © 2015, Springer Science+Business Media Dordrecht.</t>
  </si>
  <si>
    <t>10.1007/s10784-015-9279-4</t>
  </si>
  <si>
    <t>Wellman E.I.</t>
  </si>
  <si>
    <t>Refugee status as a patronage good? The interaction of transnational party mobilization and migration policy in the global south</t>
  </si>
  <si>
    <t>This article examines the transnational operations of the Zimbabwean opposition party Movement for Democratic Change (MDC) to mobilise migrant supporters living in South Africa during the 2000s. Drawing together a variety of empirical sources, including extensive original interviews with former MDC party officials and Zimbabwe diaspora civil society organisers, this article explores the challenges of diaspora engagement within contexts of poverty, legal precarity, and political violence in both origin and residence countries. Bringing together emerging research on transnational party mobilisation with the robust literature on distributive politics and clientelism, I show how assistance with asylum became a patronage good, distributed to party members in exchange for participation in party activities and electoral support. Moreover, the plight of Zimbabweans in South Africa illuminates how the line between forced and voluntary migration is both difficult to delineate and has increasingly dire consequences for populations that do not fit precisely within legal determinations of mass refugee movements. Keywords: Diaspora, Political Parties, Refugee Policy, Elections, Africa. © 2023 Informa UK Limited, trading as Taylor &amp; Francis Group.</t>
  </si>
  <si>
    <t>10.1080/1369183X.2023.2182710</t>
  </si>
  <si>
    <t>Wiebelhaus-Brahm E.</t>
  </si>
  <si>
    <t>Exploring Variation in Diasporas Engagement with Transitional Justice Processes</t>
  </si>
  <si>
    <t>Journal of Peacebuilding and Development</t>
  </si>
  <si>
    <t>accountability; Argentina; Chile; diaspora; Haiti; human rights violations; Liberia; Sri Lanka; transitional justice; Uruguay</t>
  </si>
  <si>
    <t>Despite the fact that displacement is often a result of civil war and government repression, diasporas have received comparatively little attention from transitional justice scholars. In particular, the agency of diasporas in building pressure for and articulating a vision of transitional justice has been underexplored. Diaspora populations often seek to influence opinion about justice issues in their home countries. They also seek to shape the foreign policies of their host countries. This article draws upon several cases from the Americas as well as Liberia and Sri Lanka in order to develop hypotheses about the conditions under which diasporas are likely to influence their home countrys transitional justice agenda. In particular, I identify the nature of the violence, the current status of the violence, characteristics of the diaspora, and the interests of the international community as important factors shaping diaspora interests and influence with respect to transitional justice. © Journal of Peacebuilding &amp; Development.</t>
  </si>
  <si>
    <t>10.1080/15423166.2016.1226933</t>
  </si>
  <si>
    <t>Wiederkehr C.; Ide T.; Seppelt R.; Hermans K.</t>
  </si>
  <si>
    <t>It's all about politics: Migration and resource conflicts in the global south</t>
  </si>
  <si>
    <t>Migration; Political ecology; QCA; Resource conflict; Resource governance</t>
  </si>
  <si>
    <t>Both researchers and policy makers have repeatedly expressed concerns that migration will enhance conflicts regarding renewable resources in destination areas. This concept is fuelled by projections of large future migration flows within the Global South, resulting from armed conflict, global environmental change, and persistent economic inequalities. However, as of yet, there is no conclusive empirical evidence of a nexus between migration, resource competition, and conflict at an aggregate level. Case studies draw contradicting conclusions, and cross-case research on the topic remains scarce. Here, we combine comprehensive qualitative and quantitative data from 20 cases in rural Asia, Latin America and Sub-Saharan Africa. Based on these cases, we investigate why certain areas hosting migrants have resource-related conflicts, while others do not. Using qualitative comparative analysis (QCA), we evaluate and elucidate two combinations of conditions under which resource conflict involving migrants in destination areas occurs: (1) high reliance on natural resources and negative othering of migrants in terms of resource use, and (2) government policies supporting parts of the migrant group coupled with limited resource use possibilities due to conservation efforts or industrial activities. By underlining the crucial role of grievances related to perceived unfair resource access and the strong influence of government actions on local migrant-host dynamics, we challenge deterministic narratives of migration, resource scarcity and conflict. © 2022 Elsevier Ltd</t>
  </si>
  <si>
    <t>10.1016/j.worlddev.2022.105938</t>
  </si>
  <si>
    <t>Wilson G.D.; Bardolph D.N.; Esarey D.; Wilson J.J.</t>
  </si>
  <si>
    <t>Transregional Social Fields of the Early Mississippian Midcontinent</t>
  </si>
  <si>
    <t>JOURNAL OF ARCHAEOLOGICAL METHOD AND THEORY</t>
  </si>
  <si>
    <t>Cahokia; Culture contact; Identity; Migration; Mississippian; Social fields</t>
  </si>
  <si>
    <t>This paper employs concepts from Bourdieu’s theory of social fields and contemporary research on transnationalism to explore the complicated history of population movement, culture contact, and interaction that fueled the origins of Mississippian society in the greater Cahokia area and closely related socio-political developments in the Central Illinois River Valley (CIRV) of west-central Illinois. We offer a new take on Mississippian origins and the history of culture contact in the CIRV, arguing that interregional simultaneity and inter-group collaboration played an important part of the early processes of Mississippianization in the North American Midwest. By decentering Cahokia in our explanation of Mississippian origins in the greater Midwest, we argue for a long-term persistence of traditional pre-Mississippian practices in the CIRV region, beginning with the first documented engagement among Cahokians and Illinois Valley groups in the early eleventh century until the beginning of the thirteenth century AD. © 2020, Springer Science+Business Media, LLC, part of Springer Nature.</t>
  </si>
  <si>
    <t>10.1007/s10816-019-09440-y</t>
  </si>
  <si>
    <t>Winarnita, Monika; Chan, Carol; Butt, Leslie</t>
  </si>
  <si>
    <t>Narratives of exile twenty years on: long-term impacts of Indonesia's 1998 violence on transnational Chinese-Indonesian women</t>
  </si>
  <si>
    <t>Chinese-Indonesian women; exile; family; Australia; Singapore</t>
  </si>
  <si>
    <t>In response to Indonesia's 1998 riots, which included mass rape of Chinese-Indonesian women, many Chinese-Indonesian families sent their daughters out of country to try and ensure their safety. Drawing on interviews with Chinese-Indonesian women currently living in Singapore and Australia, this article considers the long-term effects on transnational families of this departure. In contrast to current views of Chinese-Indonesians as an affluent diaspora, we show Chinese-Indonesian women's experience to be that of exile, living outside Indonesia with little possibility of permanent return. We illuminate the subtle and enduring effects of political violence on women's marital, reproductive, and childrearing practices. Interviews reveal fragmented identities and contingent household formations which enabled family resilience for some but created long-term fissures for the majority. We argue for more critical attention to how gender mutually constitutes experiences of exile, and the long-term impacts of political violence on reproduction and family relations for Chinese-Indonesian women.</t>
  </si>
  <si>
    <t>10.1080/1070289X.2018.1537639</t>
  </si>
  <si>
    <t>Winkler R.L.; Matarrita-Cascante D.</t>
  </si>
  <si>
    <t>Exporting consumption: Lifestyle migration and energy use</t>
  </si>
  <si>
    <t>Global Environmental Change</t>
  </si>
  <si>
    <t>Consumption; Costa Rica; Ecological footprint; Energy consumption; Lifestyle migration; Migration</t>
  </si>
  <si>
    <t>This paper examines how international population movements from highly developed to less developed countries spread environmentally-impactful consumption habits around the world. Lifestyle migration, a phenomenon whereby relatively privileged migrants move in search of a more fulfilling life, is increasingly common around the world and serves as an optimal example for studying the spread of unsustainable consumption. We wonder whether lifestyle migrants take high consumption lifestyles typical in their countries of origin to their destination places and whether their presence in destination communities increases consumption among natives as well. This study investigates these relationships based on the case of Costa Rica, a well-established recipient country for lifestyle migration. We analyze 100% sample microdata from the Costa Rican Census 2011 to test relationships between lifestyle migration and consumption of energy-intensive goods using multilevel models that nest consumption at the household level within communities. Our findings suggest that lifestyle migrants not only consume more energy-intensive goods than native Costa Ricans, but that their presence elevates consumption among native neighbors as well. Thus, lifestyle migration may increasingly serve as a mechanism through which unsustainable consumption patterns are transferred from the Global North to the Global South. © 2019 Elsevier Ltd</t>
  </si>
  <si>
    <t>10.1016/j.gloenvcha.2019.102026</t>
  </si>
  <si>
    <t>Wlodarczyk A.; Basabe N.; Páez D.; Villagrán L.; Reyes C.</t>
  </si>
  <si>
    <t>Individual and Collective Posttraumatic Growth in Victims of Natural Disasters: A Multidimensional Perspective</t>
  </si>
  <si>
    <t>Journal of Loss and Trauma</t>
  </si>
  <si>
    <t>Communal and societal growth; natural disaster; posttraumatic growth; social well-being</t>
  </si>
  <si>
    <t>This study set out to incorporate the collective dimensions of posttraumatic growth and examined the construct and predictive validity of The Individual and Collective Posttraumatic Growth Scale (ICPTGS). Participants were 332 volunteers who had experienced the earthquake on February 27, 2010, in Chile. Analysis allowed us to confirm a multidimensional structure composed of four dimensions: individual, spiritual, communal growth, and societal growth. Additionally, we identified association among ICPTGS, perceived emotional impact, and social well-being. This study emphasizes that positive changes resulting from the exposure to collective disasters can be perceived also at the collective or community level. © 2017 Taylor &amp; Francis Group, LLC.</t>
  </si>
  <si>
    <t>10.1080/15325024.2017.1297657</t>
  </si>
  <si>
    <t>Wu, Mengyao; Del Rey, Alberto</t>
  </si>
  <si>
    <t>The Regional Response to Venezuelan Migration: A Comparative Analysis of Governmental Measures in Colombia, Argentina, and Chile (2015-2019)</t>
  </si>
  <si>
    <t>Venezuelan migration; Colombia; Argentina; Chile; reception strategy</t>
  </si>
  <si>
    <t>This study provides a comparative analysis of the legislation, resolutions, and practices concerning regularization procedures and the recognition of fundamental rights (healthcare and education) of Venezuelan migrants between 2015 and 2019 in three host countries: Colombia, Argentina, and Chile by constructing six indicators: the date of issuance, the possibility of naturalization in the country of destination, the requirements and the application procedure, the cost of processing, the waiting period, and policy restrictions. The results show, first, a significant heterogeneity in the different legal responses in terms of the possibility of naturalization, application requirements, and the recognition of rights. Second, the analysis identifies the main factors that can explain the cross -national variation in the policy frameworks implemented towards the Venezuelan population. Third, our study suggests that these reception strategies are characterized by temporality, the ad hoc model, and discretionality, which significantly affect the social integration of Venezuelan nationals in the three host countries.</t>
  </si>
  <si>
    <t>10.25115/riem.v13i1.4944</t>
  </si>
  <si>
    <t>Xiang B.</t>
  </si>
  <si>
    <t>Multi-scalar ethnography: An approach for critical engagement with migration and social change</t>
  </si>
  <si>
    <t>Ethnography</t>
  </si>
  <si>
    <t>China; emergent scales; migration; multi-scalar ethnography; taxonomical scales</t>
  </si>
  <si>
    <t>'Multi-sited ethnography' is now a common method for anthropological studies on migration. But how multi-sited is multi-sited enough? Don't we have to stand somewhere in order to confront problems and engage with changes? Based on my research experiences on migration in and from China since the early 1990s, this article explores 'multi-scalar ethnography' as a method of fieldwork, analysis, and writing. Multi-scalar ethnography delineates how movements are constituted at different scales (smooth flows at one level can be disruptions or encapsulations at another), how migrants' scale-making projects intersect with states' scale management, and how we can locate multiple sites analytically. In doing so, multi-scalar ethnography enables an explanation of why some mobility is more consequential than others, and identifies strategic sites where critical engagement can be grounded. © The Author(s) 2013 Reprints and permissions: sagepub.co.uk/journalsPermissions.nav.</t>
  </si>
  <si>
    <t>10.1177/1466138113491669</t>
  </si>
  <si>
    <t>Xu F.; Crush J.; Zhong T.</t>
  </si>
  <si>
    <t>Pathways to food insecurity: Migration, hukou and COVID-19 in Nanjing, China</t>
  </si>
  <si>
    <t>food security; Hukou; insufficient food quantity; nonlocal households</t>
  </si>
  <si>
    <t>The COVID-19 pandemic has issued significant challenges to food systems and the food security of migrants in cities. In China, there have been no studies to date focusing on the food security of migrants during the pandemic. To fill this gap, an online questionnaire survey of food security in Nanjing City, China, was conducted in March 2020. This paper situates the research findings in the general literature on the general migrant experience during the pandemic under COVID and the specifics of the Chinese policy of hukou. Using multiple linear regression and ordered logistic regression, the paper examines the impact of migration status on food security during the pandemic. The paper finds that during the COVID-19 outbreak in 2020, households without local Nanjing hukou were more food insecure than those with Nanjing hukou. The differences related more to the absolute quantity of food intake, rather than reduction in food quality or in levels of anxiety over food access. Migrants in China and elsewhere during COVID-19 experienced three pathways to food insecurity—an income gap, an accessibility gap, and a benefits gap. This conceptual framework is used to structure the discussion and interpretation of survey findings and also has wider potential applicability. © 2022 The Authors. Population, Space and Place published by John Wiley &amp; Sons Ltd.</t>
  </si>
  <si>
    <t>10.1002/psp.2640</t>
  </si>
  <si>
    <t>Yánez Corrales, Angela; de la Fuente Flores, Laura; Toffoletto, María; Masalan Apip, María</t>
  </si>
  <si>
    <t>Necesidades de salud de migrantes en países receptores desde un enfoque biopsicosocial</t>
  </si>
  <si>
    <t>MediSur</t>
  </si>
  <si>
    <t>Human migration; emigration and immigration; migrant-receiving society; migrants; health; health services needs and demand</t>
  </si>
  <si>
    <t>At present, the Chilean government is making an effort to guarantee the new citizens their rights, with different costumes and in general with a different life style. Therefore, it is of great relevance to know their social, biological and psychological needs through the experience in the receiving countries to make optimum health management in the country. The objective of this work is to analyze the treatment to the health needs of migrants in receiving countries regarding a bio-psycho-social approach of the integrated model set in Chile. The analysis of health needs was organized according to the centrality of the bio-psycho-social model and the information was organized regarding the above mentioned needs. It is concluded that the main needs are related to sexual and reproductive health, infectious contagious, chronic degenerative and cardiovascular diseases and feeding disturbances.</t>
  </si>
  <si>
    <t>6</t>
  </si>
  <si>
    <t>Yanez Espinoza, Manuel</t>
  </si>
  <si>
    <t>Children and migration: Comments on the proposal for a legal reform in Chile</t>
  </si>
  <si>
    <t>REVISTA SOBRE LA INFANCIA Y LA ADOLESCENCIA</t>
  </si>
  <si>
    <t>childhood; migration; vulnerabilities; Chile</t>
  </si>
  <si>
    <t>The purpose of this work is to analyze the draft of the migration and foreing policy bill, that is currently passing in the National Congress of the Republic of Chile. This bill seeks to norm the treatment and protection of migrant children and formulate criticisms and proposals from the respective rights approach, and the special protection the migrant children require as vulnerable subjects.</t>
  </si>
  <si>
    <t>10.4995/reinad.2020.13824</t>
  </si>
  <si>
    <t>Yu W.; Wang Q.</t>
  </si>
  <si>
    <t>Transnational or Not: COVID Pandemic and Chinese Academic Migrants</t>
  </si>
  <si>
    <t>Academic migrants; Chinese; COVID; pandemic politicization; transnationalism</t>
  </si>
  <si>
    <t>Based on 25 in-depth interviews collected during the COVID pandemic from Chinese academic immigrants in the U.S., we find that COVID immediately halted their transnational travels. Furthermore, catalyzed by changes in the Sino-U.S. geopolitical relationship, the soaring Anti-Asian hate in the U.S., and the raging storm of patriotism and nationalism in China, COVID impacts academic migrants’ perceptions of opportunities, pursuits of transnational movements, and ethnic and diasporic identities. The disrupted transnational migration of people and knowledge due to the intersection of the pandemic, social contexts, and geopolitics may have long-term detrimental effects at the individual, institutional, national, and global levels. © 2023 Taylor &amp; Francis Group, LLC.</t>
  </si>
  <si>
    <t>10.1080/15562948.2022.2153394</t>
  </si>
  <si>
    <t>Yuing T.</t>
  </si>
  <si>
    <t>Migration and life management in the global world; [Migraciones y administración de la vida en el mundo global]</t>
  </si>
  <si>
    <t>Globalization; Historical processes; Migration; Regulation; Subjectivity</t>
  </si>
  <si>
    <t>Our work is an approximation to the topic of migrations and its debates from a perspective that includes theoretical contributions stemming mainly from philosophy and sociology. The text raises the possibility of analyzing migratory processes on the basis of the biopolitical contributions of Foucault, suggesting a certain historical inscription of the problem. Second, this analysis is oriented towards the scenario of the global world where it is inspected on the constitution of subjective areas that take part in the migratory phenomenon. © Pontificia Universidad Católica de Valparaíso.</t>
  </si>
  <si>
    <t>10.5027/PSICOPERSPECTIVAS-VOL10-ISSUE1-FULLTEXT-136</t>
  </si>
  <si>
    <t>Yulcerán A.H.</t>
  </si>
  <si>
    <t>Curriculum in contexts of migrant students: The complexities of curriculum development from the perspective of classroom teachers; [El currículo en contextos de estudiantes migrantes: Las complejidades del desarrollo curricular desde la perspectiva de los docentes de aula]</t>
  </si>
  <si>
    <t>Cultural diversity; Curriculum; Curriculum development; Intercultural education; Migration</t>
  </si>
  <si>
    <t>Current statistics indicate that Chile is one of the main migration destinations within the region. The increase in the migrant population has generated a transformation in the educational culture of the country, expanding the diversity that was commonly attended at the school. However, studies investigating the processes of integration of migrant children reveal the presence of discriminatory and racist behavior by the educational community. On the other hand it can be seen that the curriculum implemented in these establishments is decontextualized. In addition, at the government level there is a lack of educational policies that foster intercultural curriculum proposals to address the ethnic-culture diversity of migration. Therefore, the objective of this research is to "describe the curricular development of teachers working in two urban schools with migrant students in the district of Santiago".</t>
  </si>
  <si>
    <t>10.4067/S0718-07052016000200009</t>
  </si>
  <si>
    <t>Zambrano, Paulina Granados; Gonzalez, Nicolas Rivera; Badilla, Maria Fernanda Toledo</t>
  </si>
  <si>
    <t>Characterization of immigration in the Chilean Pension and Unemployment Insurance Systems</t>
  </si>
  <si>
    <t>immigration; migration trends; administrative data; labor market; Chile</t>
  </si>
  <si>
    <t>The levels of immigration recorded in Chile over the last few decades are unprecedented. Despite the magnitude of this phenomenon, the literature on immigration in Chile is scarce. Even though it is expected immigration has important effects on the Chilean labour market, there is not much historical neither systematic evidence available for a better understanding of the phenomenon. This can be mainly explained by the fact that related sources of information are limited and infrequent. This paper aims at describing the demographic and socio-economic characteristics of the immigrants' formal working population in Chile (i.e. individuals working in the formal sector who by law contribute to the social security system), using administrative records of the Pension Systems and the Unemployment Insurance System, in addition to information provided by the Civil Registry and Identification Service on their nationality and country of origin. The results obtained show an exponential increase in new foreigners to the social security system over the last few years. Haitians and Venezuelans are the largest groups, representing 70% of the total number of new foreign affiliates to the Pension System in 2018. The average wage difference between Chileans and foreigners increased by over 600% during the 2010 2018 period, differing by almost USD 300 in 2018 in favor of Chileans. This difference deepens with higher wages. Finally, there is an important gender gap both for Chileans and foreigners (around 10% in 2018). The gender gap for foreigners has importantly decreased during the last decade reaching the relatively more stable, but still important, Chilean gender gap of around 10%. However, foreign women are in a much weaker relative situation than Chilean women when age, cohort and time effects are obtained.</t>
  </si>
  <si>
    <t>10.25115/riem.v12i2.4656</t>
  </si>
  <si>
    <t>Zanoni W.; Díaz L.</t>
  </si>
  <si>
    <t>Discrimination against migrants and its determinants: Evidence from a Multi-Purpose Field Experiment in the Housing Rental Market</t>
  </si>
  <si>
    <t>Discrimination; Field research; Migration; Real estate market</t>
  </si>
  <si>
    <t>The increasing number of Venezuelan migrants in Colombia, which now exceeds 2.9 million, has raised concerns about their potential discrimination and socioeconomic integration. We propose a novel approach to studying discrimination in the housing rental market by conducting a multi-purpose field experiment with 574 real estate agents to, not only measure the extent of discrimination but also to explore its determinants. After gathering comprehensive data about the Real Estate Agents (REAs), they evaluated rental applications from Colombian, Venezuelan, and other nationality families. Our findings suggest the presence of discrimination in the housing rental market, as REAs were less likely to choose a Venezuelan family over a Colombian or other nationality family. We identified that this discrimination was influenced by factors such as age, gender, cognitive skills, and local market knowledge. We found that the discriminatory social norm is well recognized among REAs. This study has significant implications for policymakers, advocates, and practitioners, not only in Colombia but globally, as it sheds light on the mechanisms of discrimination against migrant populations and emphasizes the need to promote their integration and well-being. © 2023 Elsevier B.V.</t>
  </si>
  <si>
    <t>10.1016/j.jdeveco.2023.103227</t>
  </si>
  <si>
    <t>Zapata Martinez, Adriana</t>
  </si>
  <si>
    <t>FAMILY PRACTICES AT A DISTANCE IN CONTEXTS OF INTERNATIONAL MATERNAL OR PATERNAL MIGRATION</t>
  </si>
  <si>
    <t>REVISTA COLOMBIANA DE CIENCIAS SOCIALES</t>
  </si>
  <si>
    <t>Migrations; Mothers; Fathers; Practice; Family</t>
  </si>
  <si>
    <t>As a result of international migration processes, family dynamics are not subject to a specific space and time considering that family members are located in two or more countries. Consequently, new family configurations are generated leading to changes and adjustments because of physical distancing. The objective of this article is to identify and understand the dynamics that allow families maintaining their parent-child relationships and bonds from distance, based on the international migration of Colombian mothers and/or fathers to Santiago de Chile. These reflections are framed within a qualitative methodology, in which techniques such as in-depth interviews, family life plans and family cartography were used. These techniques were applied to immigrant parents, mothers and their sons and/or daughters living in Colombia. According to the results obtained, there are three types of family practices-continuous practices, discontinuous practices and creative practices- which involve regular actions such as routines, celebrations and family traditions that are maintained and / or recreated through memory material resources, technology and communication devices.</t>
  </si>
  <si>
    <t>10.21501/22161201.2978</t>
  </si>
  <si>
    <t>Zapata Martínez, Adriana</t>
  </si>
  <si>
    <t>El hogar en contextos transnacionales: una reflexión desde la migración de madres/padres colombianos a Santiago de Chile</t>
  </si>
  <si>
    <t>Colombian migration; family; home; parental migration; ritualized practices; transnationality</t>
  </si>
  <si>
    <t>Abstract: Based on the research work carried out with Colombian migrant families whose mothers and/or fathers - from Valle del Cauca - have migrated to the city of Santiago de Chile, while their children remained in their country of origin, this article is intended to discuss and reflect on the concept of home in a transnational context. An attempt is made to problematize the concept of home based on physical and geographical distancing and the construction or maintenance of ritualized family practices. The methodology used is qualitative and is framed within an epistemological and theoretical current of phenomenology, using techniques such as in-depth interviews, family mapping and family life mapping. Fieldwork was carried out in Santiago de Chile and Valle del Cauca, where migrant parents and their children were interviewed using the family as the unit of analysis. The article concludes that the home is a practiced and symbolic place, laden with affection, care, and memories. In it, migrant mothers/fathers and sons/daughters develop feelings of identity and belonging, as well as family relationships and affective bonds, through the construction and/or maintenance of ritualized family practices that occur in non-physical proximity and that maintain and reproduce kinship ties. Such an approach lends originality to thought and debate on the concept of home in the study of transnational family migration.</t>
  </si>
  <si>
    <t>10.7440/antipoda43.2021.04</t>
  </si>
  <si>
    <t>Zapata-Sepulveda, Pamela</t>
  </si>
  <si>
    <t>The Power of Saying the Normally Unsaid as an Act of Empowering a Woman's Voice in the Academia and the Fictional Parallel Side Behind This Power in a Global Era</t>
  </si>
  <si>
    <t>QUALITATIVE INQUIRY</t>
  </si>
  <si>
    <t>violence; color women voices; Chile education system; migration; interpretive autoethnography</t>
  </si>
  <si>
    <t>In this text, I want to reflect about the impact of the process of my Autoethnography performance training from 2011 in my work/research/life with . . . as a teacher, a researcher, and as a woman standing from a contemporary QI conducting research and teaching about the unsaid topics of the new movements of migration of people in the border of northern Chile from/in and outside the academia. Color, violence, historical influence and Andean migration process, forgetfulness, borders, and the normal attitude turned into action as not to see/not to feel/not to believe the big problematic realities in foreign lives. All of these are part of this performative text in which I reflect and confront daily life experiences; my academic role and the risks and threats that my latte color woman's voice mean to the academia in these times.</t>
  </si>
  <si>
    <t>10.1177/1077800416659087</t>
  </si>
  <si>
    <t>Zapata-Sepulveda, Pamela; Mora-Olate, Maria Loreto; Valle-Kendall, Rodolfo Bastian; Valle-Barrera, Andres</t>
  </si>
  <si>
    <t>Cultural relevance of the curriculum in schools in Chile's northern tri-border region: dilemmas and challenges</t>
  </si>
  <si>
    <t>education; curriculum; border conflicts; cultural diversity; border studies</t>
  </si>
  <si>
    <t>The study analyses the contents alluding to migration, respect for cultural diversity, nationalism and chileanness, in the curriculum of the subjects History, Geography and Social Sciences and Language and Communication/Language and Literature, implemented in urban and rural schools in the tri-border region of Arica and Parinacota (Chile) with the highest concentration of students of Andean or Afro origin, and children born in Chile of migrant parents. Through thematic content analysis with the QSR-Nvivo 12 programme, the corpus of curricula and school texts used at seven educational levels between 2018 and 2020 is analysed. The results reveal the scarcity of content referring to migration and cultural diversity. The contents of chileanness andnationalism referto presentandpasttensions and disputesbetween Chile and neighbouring countries, with a predominantly nationalist position of sovereignty. It is concluded that the curriculum is not culturally relevant to the tri-border region.</t>
  </si>
  <si>
    <t>e123</t>
  </si>
  <si>
    <t>10.21670/ref.2312123</t>
  </si>
  <si>
    <t>Zapata, Gisela P.; Gandini, Luciana; Vera Espinoza, Marcia; Prieto Rosas, Victoria</t>
  </si>
  <si>
    <t>Weakening Practices Amidst Progressive Laws: Refugee Governance in Latin America during COVID-19</t>
  </si>
  <si>
    <t>Refugees; international protection; governance; COVID-19; Brazil; Chile; Mexico; Uruguay</t>
  </si>
  <si>
    <t>This paper develops a comparative assessment of the state of asylum in Brazil, Chile, Mexico, and Uruguay. It argues that an accelerated weakening of refugee protection, exacerbated during the pandemic, has taken place across the region. Faced with growing mixed flows, the region's refugee framework has either been used as an ad hoc regularization mechanism or not been broadly used. Also, pandemic mitigation measures have further weakened access to asylum, through militarization and border closures, and a platitude of deterrence practices. These regressive practices may result in the undermining, abandonment and/or replacement of the region's widely praised refugee governance.</t>
  </si>
  <si>
    <t>10.1080/15562948.2022.2163521</t>
  </si>
  <si>
    <t>Zare M.; Panagopoulos T.; Loures L.</t>
  </si>
  <si>
    <t>Simulating the impacts of future land use change on soil erosion in the Kasilian watershed, Iran</t>
  </si>
  <si>
    <t>Climate change; Land use change; Land use optimization; Migration; Soil erosion</t>
  </si>
  <si>
    <t>Predicting soil erosion potential is important in watershed management. A rapidly growing Iranian population and climate change are expected to influence land use and soil sustainability. In recent years, northern Iran has experienced significant land use changes due to internal migration along the Caspian coast and conversion of forests and rangelands. Considering the effect of these changes in the future, the purpose of this study is to forecast land use patterns and investigate soil erosion scenarios using the Revised Universal Loss Equation and Markov Cellular Automata. Data from 1981 to 2011 were used as a baseline to estimate changes that might occur in 2030. The results reveal that the mean erosion potential will increase 45% from the estimated 104.52 t ha−1 year−1 in the baseline period. Moreover, the results indicate that land use change from forest area to settlements will be the most significant factor in erosion induced by land use change, showing the highest correlation among erosional factors. Projecting land use change and its effect on soil erosion indicate that conversion may be unsustainable if change occurs on land that is not suited to the use. The method predicts soil erosion under different scenarios and provides policymakers a basis for altering programs related to land use optimization and urban growth. Those results indicated the necessity of appropriate policies and regulations particularly for limiting land use changes and urban sprawl in areas of unfavorable soil erosion risk factors. © 2017 Elsevier Ltd</t>
  </si>
  <si>
    <t>10.1016/j.landusepol.2017.06.028</t>
  </si>
  <si>
    <t>Žebryte I.; Villegas-Benavente L.</t>
  </si>
  <si>
    <t>The theory of pollution haven: The effects of foreign direct investment on the local scale in Chile; [La teoría del refugio de contaminación: Efectos de la inversión extranjera directa a escala local en Chile]</t>
  </si>
  <si>
    <t>Juridicas</t>
  </si>
  <si>
    <t>Chile; Environmental standards; Foreign direct investment; Pollution haven</t>
  </si>
  <si>
    <t>The problem of international trade based economic development which occurs surpassing the environmental standards is reflected in the theory of pollution haven. To establish whether Chile is in fact a pollution haven we dissect the elements constituting the concept and empirically prove the presence of the phenomenon. Despite the recent restructuring of environmental protection institutions, the Chile still appears to be attractive for the polluting and natural resource extraction based industries. We employ a systematic approach based on qualitative legislation and jurisprudence analysis to prove that the structural weaknesses coupled with an active fostering of direct foreign investment evidence the pollution haven phenomenon in Chile.</t>
  </si>
  <si>
    <t>10.17151/jurid.2016.13.1.3</t>
  </si>
  <si>
    <t>Zelada L.G.; Hernández S.M.</t>
  </si>
  <si>
    <t>Empty interculturality: the right to intercultural health of indigenous peoples and migrants in Chile; [A interculturalidade vazia: direito à saúde intercultural dos povos indígenas e pessoas migrantes no Chile]; [LA INTERCULTURALIDAD VACÍA: DERECHO A LA SALUD INTERCULTURAL DE LOS PUEBLOS INDÍGENAS Y PERSONAS MIGRANTES EN CHILE]</t>
  </si>
  <si>
    <t>Acta Bioethica</t>
  </si>
  <si>
    <t>indigenous peoples; migrants; public health; right to health</t>
  </si>
  <si>
    <t>This work analyzes the development of the intercultural perspective in the protection and guarantee of the right to health in indigenous peoples and migrant population in Chile from the legal point of view. It reviews the prevalent practices and experiences in the field of public health in Chile, to establish the shape and scope of interculturality in the protection of the right to health, and the way in which it contributes to interculturality. The intercultural perspective on access to justice in Chile is weak, formal, these are incipient initiatives in the case of indigenous peoples while in the case of migrants, they hardly address language barriers. © 2022, Universidad de Chile - Centro Interdisciplinario de Estudios en Bioetica. All rights reserved.</t>
  </si>
  <si>
    <t>10.4067/S1726-569X2022000100025</t>
  </si>
  <si>
    <t>Zenklusen D.</t>
  </si>
  <si>
    <t>«I want to continue studying, to be someone». An analysis of the educational trajectories of Peruvian youth in Argentina; [«Quiero seguir estudiando para ser alguien»: Análisis de trayectorias educativas de jóvenes peruanos en Argentina]</t>
  </si>
  <si>
    <t>Education; Migration; Urban space; Youth</t>
  </si>
  <si>
    <t>The following article details a research study that uses an ethnographic method based on in-depth interviews and participant observation to examine the educational trajectories of young Peruvians who live in two peripheral neighborhoods of the city of Córdoba, Argentina. In addition to describing and analyzing their different experiences of education in the city, the study uses an intersectio- nal perspective to identify how family migratory projects and educational expectations of parents are articulated and are in conflict with the educational projects defined by their children. The results show that despite the expectations of families in terms of basic and university education in Argentina, young people face specific difficulties in continuing with their educational trajectories. To address this, parents and children use a range of strategies to sustain these trajectories. © 2020. Classiques Garnier.</t>
  </si>
  <si>
    <t>10.11600/1692715X.18203</t>
  </si>
  <si>
    <t>Zenteno Torres, Elizabeth; Salazar, Noel</t>
  </si>
  <si>
    <t>Searching for the 'Chilean Oasis': Waiting and Uncertainty in the Migration Trajectories of Venezuelan Women</t>
  </si>
  <si>
    <t>Venezuelan migration; female migration; trajectories; uncertainty; Chile</t>
  </si>
  <si>
    <t>Venezuelans escaping from the crisis in their country count currently among the largest displaced populations in the world. Chile seems to offer them an oasis of political and economic stability. This ethnographic study explores the migrant trajectories of Venezuelan women. We disentangle their migration process, including destination imaginaries, the journey, and their life in Chile. We discuss how uncertainty is permanent in their trajectories and how the imagined oasis turns out to be just a mirage. The women end up waiting, perhaps perennially, to be able to return home. Meanwhile, they develop strategies to survive in an oasis without water.</t>
  </si>
  <si>
    <t>10.1080/15562948.2021.1980642</t>
  </si>
  <si>
    <t>Zhu, Jiangnan; Chen, Weijia</t>
  </si>
  <si>
    <t>Promoting China out of self-interest: Chinese diaspora diplomacy in Chile</t>
  </si>
  <si>
    <t>Chinese diaspora; diaspora diplomacy; global governance; representation and communication; Chile</t>
  </si>
  <si>
    <t>Based on our fieldwork among the Chinese diaspora communities in Chile, this article on the diplomatic roles of diasporas challenges the conventional state-centric perspective on diplomacy. We propose that Chinese diasporas can carry out two core functions of diplomacy-the representation of and communication about a country-at the people-to-people level. Chinese diaspora diplomacy is fundamentally driven by diaspora members' interest in improving their socioeconomic position in the host society and highly influenced by their intercultural skills. The diplomatic practices of diasporas are heterogeneous and often spontaneous, ranging from collective diplomacy channelled through diaspora associations to individual diplomacy through diasporic business activities and daily expressions. Although these activities do not necessarily involve adherence to the governing agenda of a political regime, they often strive to promote China in the host society. Nonetheless, their outcomes may sometimes be at odds with China's interests.</t>
  </si>
  <si>
    <t>10.1080/1369183X.2023.2184294</t>
  </si>
  <si>
    <t>Zumeta, Larraitz N.; Bobowik, Magdalena; Basabe, Nekane; Wlodarczyk, Anna</t>
  </si>
  <si>
    <t>Participation in Multicultural Awareness-Raising Community Actions: Positive Effects on Well-Being and Group Efficacy</t>
  </si>
  <si>
    <t>CULTURAL DIVERSITY &amp; ETHNIC MINORITY PSYCHOLOGY</t>
  </si>
  <si>
    <t>self-transcendent emotions; shared flow; well-being; group efficacy; multicultural interventions</t>
  </si>
  <si>
    <t>Objective: This participatory research sought to understand how engagement in awareness-raising multicultural activities strengthens well-being and group efficacy among immigrants and host nationals. We also examined the mediating role of self-transcendent emotions and shared flow. Method: We tested our predictions across three studies, each focused on one awareness-raising activity organized by a nongovernmental organization, SOS Racismo-Mugak, working closely with the local community. This investigation was conducted in line with a community-based participatory research framework and thus with participation of community members in the procedure design, recruitment and data collection, as well as the dissemination of research findings. In Study 1, 204 participants responded to a survey before, during, and after participating in a multicultural lunch promoting interaction between immigrant and host national families. In Study 2, 106 participants were surveyed during an open-outdoors multicultural community meal. In Study 3, 93 participants completed an online survey after an antiracist protest. Results: Self-transcendent emotions and shared flow explained the relationship between the quality of participation and well-being (Studies 1 and 2) among immigrants and host nationals. The indirect effect of shared flow was stronger for immigrants (Study 1). The relationship between quality of participation and group efficacy was mediated by self-transcendent emotions (Study 2) and shared flow (Study 3) for both groups. Conclusions: Our results point out that participation in community awareness-raising activities has several positive outcomes, such as individual and collective empowerment, and elicits shared flow and self-transcendent emotions among immigrants and host nationals. Public Significance Statement This participatory research sought to understand how engagement in awareness-raising multicultural activities strengthens well-being and group efficacy among immigrants and host nationals. We tested our predictions across three studies, each focused on one awareness-raising activity organized by a nongovernmental organization, SOS Racismo-Mugak, working closely with the local community. Our results point out that participation in community awareness-raising activities has several positive outcomes, such as individual and collective empowerment (well-being and group efficacy), and elicits shared flow and self-transcendent emotions, which may ultimately foster community action.</t>
  </si>
  <si>
    <t>10.1037/cdp0000426</t>
  </si>
  <si>
    <t>Zuniga, Ernesto Camilo San Martin</t>
  </si>
  <si>
    <t>Health Condition and Medical Treatment As Limits To Expulsions of International Migrants</t>
  </si>
  <si>
    <t>REVISTA DE DIREITO SANITARIO-JOURNAL OF HEALTH LAW</t>
  </si>
  <si>
    <t>Right to Health; Expulsion; Migration</t>
  </si>
  <si>
    <t>In Chile, the expulsion of an international migrant is decided by the administrative authority with a high level of discretion. To avoid arbitrariness, the new immigration law has defined a list of circumstances that must be considered to support an expulsion order. However, the health condition of the migrant is not part of said list, in opposition to the norms and principles of human rights. This research analyzes the norms of internal and international law, the jurisprudence related to the right to health of international migrants, and their relationship with the regulations on expulsions from the national territory, exposing the reasons that justify the consideration of the health condition of the foreigner before resolving their expulsion, concluding that the health condition is a useful argument to limit the powers of the administrative authority in this matter.</t>
  </si>
  <si>
    <t>e0019</t>
  </si>
  <si>
    <t>10.11606/issn.2316-9044.rdisan.2023.201868</t>
  </si>
  <si>
    <t>Zunino, Hugo Marcelo; Arevalo, Lorena Espinoza; Vallejos-Romero, Arturo</t>
  </si>
  <si>
    <t>Lifestyle Migrants as Agents of Transformation in the Chilean Northern Patagonia</t>
  </si>
  <si>
    <t>Migration; lifestyle; territories; creativity; agents; transformation (Thesaurus); re-signification</t>
  </si>
  <si>
    <t>The so-called lifestyle migration represents a socio-cultural and spatial phenomenon that has become particularly important in mountain and large-lake areas of the Chilean Northern Patagonia. To examine the consequences and repercussions that this type of mobility had in the places of destination, we have used semi-structured interviews of the incoming migrant population. The analysis of the data collected enabled us to show that the initiatives, undertakings and practices deployed by the migrants exhibit important degrees of creativity that are associated with the re-signification of places. These elements suggest that the new residents acquire a role that we have denominated agents of transformation.</t>
  </si>
  <si>
    <t>10.7440/res55.2016.11</t>
  </si>
  <si>
    <t>Zunino, Hugo Marcelo; Matossian, Brenda; Hidalgo, Rodrigo</t>
  </si>
  <si>
    <t>Poblamiento y desarrollo de enclaves turísticos en la Norpatagonia chileno-argentina: Migración y frontera en un espacio binacional</t>
  </si>
  <si>
    <t>Revista de geografía Norte Grande</t>
  </si>
  <si>
    <t>53</t>
  </si>
  <si>
    <t>TY</t>
  </si>
  <si>
    <t>AU</t>
  </si>
  <si>
    <t>TI</t>
  </si>
  <si>
    <t>JO</t>
  </si>
  <si>
    <t>PY</t>
  </si>
  <si>
    <t>KW</t>
  </si>
  <si>
    <t>AB</t>
  </si>
  <si>
    <t>VL</t>
  </si>
  <si>
    <t>IS</t>
  </si>
  <si>
    <t>SP</t>
  </si>
  <si>
    <t>EP</t>
  </si>
  <si>
    <t>DO</t>
  </si>
  <si>
    <t>UR</t>
  </si>
  <si>
    <t>ER</t>
  </si>
  <si>
    <t>N1</t>
  </si>
  <si>
    <t>N2</t>
  </si>
  <si>
    <t>assisted migration; agricultural colonization; migration theories; Italy; Chile.</t>
  </si>
  <si>
    <t>identity; intersectionality; migration; Haiti; Chile</t>
  </si>
  <si>
    <t>identity; transnational migration; case study; Brazil; Chile.</t>
  </si>
  <si>
    <t>international migration; reasons for migration; sociological discourse analysis; Los Lagos Region; Chile</t>
  </si>
  <si>
    <t>negotiation; transnationalism; foreign restaurants; Greater Valparaíso; Chile.</t>
  </si>
  <si>
    <t>people smuggling; forced migration; clandestine migration; Cuban migration; Chilean borders</t>
  </si>
  <si>
    <t>generation; belonging; home; immobility; migration; young migrants</t>
  </si>
  <si>
    <t>Acculturation processes; Intergroup attitudes; Acculturation preferences; Intergroup climate; Longitudinal and experimental studies;</t>
  </si>
  <si>
    <t>Ritual clowns; Urban migration; Becoming white; Indigenous identities; Chilean colonialism</t>
  </si>
  <si>
    <t>Human migration; Environmental impact; Climate change; Environmental justice; Migration processes</t>
  </si>
  <si>
    <t>Refugee economic assimilation; Host country characteristics; Self-selection patterns; Military regimes; Migration destinations</t>
  </si>
  <si>
    <t>Venezuelan immigrants; Immigration policy changes; Sebastian Piñera government; Immigrant perceptions; Attitudes towards other immigrants</t>
  </si>
  <si>
    <t>Immigration to Chile; Socioeconomic status; CASEN survey; Hierarchical cluster analysis; Vulnerable group</t>
  </si>
  <si>
    <t>Ideological configuration; Right-Wing Authoritarianism; Social Dominance Orientation; Attitudes toward foreigners; Structural equation modeling</t>
  </si>
  <si>
    <t>Second-generation children; Boundary-making; Identity-making; Race and nationality; Socio-cultural inclusion</t>
  </si>
  <si>
    <t>Migration policy change; Securitist actors; Programmatic ideas; National bureaucracies; Policy contradictions</t>
  </si>
  <si>
    <t>Agricultural labour; Local policy-making; Migrant seasonal workers; Inclusion and exclusion; Civil society</t>
  </si>
  <si>
    <t>británicos; ferrocarril; comercio; salitre; antofagasta</t>
  </si>
  <si>
    <t>La presencia británica en la región de Antofagasta entre los años1880-1930 se verificó en varios ámbitos. Sus inversiones fueron influyentes en la construcción de la conectividad ferroviaria, desde la década de 1870 en adelante. Llegaron a dominar otras iniciativas de empresas privadas ferroviarias tanto de Taltal como de Tocopilla. El núcleo fundamental, lo constituyó el ferrocarril de Antofagasta a Bolivia (FCAB). También se manifestó la gravitación británica en las actividades comerciales y financieras que orientaron el control de la producción salitrera hacia los mercados mundiales. Todo esto exigió una presencia demográfica que fue impulsada por los negocios asenta- dos en la región de Antofagasta donde la mayoría de los miembros de la colonia se vinculó en las actividades ligadas al FCAB y a los sectores técnicos y administrativos de sus empresas salitreras. En tal sentido, la importancia de estos negocios generó redes sociales que de modo significativo incidieron en el rumbo de la sociedad regional</t>
  </si>
  <si>
    <t>Internal displacement; Peacebuilding strategies; Durable solutions; Security of tenure; Adequate housing</t>
  </si>
  <si>
    <t>migración; chile; gales; fundición de cobre; intercambios culturales y religiosos</t>
  </si>
  <si>
    <t>Pandemia; Crisis de movilidades humanas; Fronteras; Políticas migratorias</t>
  </si>
  <si>
    <t>Forced movement; Displacement; Indian immigrants; Colonial society; Re-ethnification</t>
  </si>
  <si>
    <t>Electoral participation; Gender gap; Compulsory voting; Social capital; Migrants; Chile</t>
  </si>
  <si>
    <t>Lifestyle migrants; Rural Andean community; Belongingness; Rural fantasies; Urban life dissatisfaction</t>
  </si>
  <si>
    <t>habit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</si>
</sst>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color theme="1"/>
      <name val="Aptos Narrow"/>
      <scheme val="minor"/>
    </font>
    <font>
      <sz val="12"/>
      <color theme="1"/>
      <name val="Aptos Narrow"/>
    </font>
    <font>
      <sz val="12"/>
      <color theme="1"/>
      <name val="Arial"/>
      <family val="2"/>
    </font>
    <font>
      <u/>
      <sz val="12"/>
      <color rgb="FF0000FF"/>
      <name val="Aptos Narrow"/>
    </font>
    <font>
      <sz val="12"/>
      <color theme="1"/>
      <name val="Aptos Narrow"/>
      <scheme val="minor"/>
    </font>
    <font>
      <sz val="14"/>
      <color rgb="FF000000"/>
      <name val="-webkit-standard"/>
    </font>
  </fonts>
  <fills count="5">
    <fill>
      <patternFill patternType="none"/>
    </fill>
    <fill>
      <patternFill patternType="gray125"/>
    </fill>
    <fill>
      <patternFill patternType="solid">
        <fgColor rgb="FFFCE5CD"/>
        <bgColor rgb="FFFCE5CD"/>
      </patternFill>
    </fill>
    <fill>
      <patternFill patternType="solid">
        <fgColor rgb="FFFFF2CC"/>
        <bgColor rgb="FFFFF2CC"/>
      </patternFill>
    </fill>
    <fill>
      <patternFill patternType="solid">
        <fgColor rgb="FFFFFF00"/>
        <bgColor indexed="64"/>
      </patternFill>
    </fill>
  </fills>
  <borders count="1">
    <border>
      <left/>
      <right/>
      <top/>
      <bottom/>
      <diagonal/>
    </border>
  </borders>
  <cellStyleXfs count="1">
    <xf numFmtId="0" fontId="0" fillId="0" borderId="0"/>
  </cellStyleXfs>
  <cellXfs count="13">
    <xf numFmtId="0" fontId="0" fillId="0" borderId="0" xfId="0"/>
    <xf numFmtId="0" fontId="1" fillId="0" borderId="0" xfId="0" applyFont="1"/>
    <xf numFmtId="0" fontId="2" fillId="0" borderId="0" xfId="0" applyFont="1"/>
    <xf numFmtId="0" fontId="3" fillId="0" borderId="0" xfId="0" applyFont="1"/>
    <xf numFmtId="0" fontId="1" fillId="2" borderId="0" xfId="0" applyFont="1" applyFill="1"/>
    <xf numFmtId="0" fontId="4" fillId="0" borderId="0" xfId="0" applyFont="1"/>
    <xf numFmtId="0" fontId="1" fillId="3" borderId="0" xfId="0" applyFont="1" applyFill="1"/>
    <xf numFmtId="0" fontId="4" fillId="3" borderId="0" xfId="0" applyFont="1" applyFill="1"/>
    <xf numFmtId="0" fontId="5" fillId="0" borderId="0" xfId="0" applyFont="1"/>
    <xf numFmtId="0" fontId="1" fillId="0" borderId="0" xfId="0" applyFont="1" applyAlignment="1">
      <alignment wrapText="1"/>
    </xf>
    <xf numFmtId="0" fontId="1" fillId="4" borderId="0" xfId="0" applyFont="1" applyFill="1"/>
    <xf numFmtId="0" fontId="0" fillId="4" borderId="0" xfId="0" applyFill="1"/>
    <xf numFmtId="0" fontId="3"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927"/>
  <sheetViews>
    <sheetView workbookViewId="0">
      <pane ySplit="1" topLeftCell="A2" activePane="bottomLeft" state="frozen"/>
      <selection pane="bottomLeft" sqref="A1:XFD1048576"/>
    </sheetView>
  </sheetViews>
  <sheetFormatPr baseColWidth="10" defaultColWidth="11.1640625" defaultRowHeight="15" customHeight="1"/>
  <cols>
    <col min="1" max="1" width="21.5" customWidth="1"/>
    <col min="2" max="2" width="43.33203125" customWidth="1"/>
    <col min="3" max="3" width="110.33203125" customWidth="1"/>
    <col min="4" max="4" width="24.5" customWidth="1"/>
    <col min="5" max="5" width="19.1640625" customWidth="1"/>
    <col min="6" max="6" width="12.1640625" customWidth="1"/>
    <col min="7" max="14" width="8.83203125" customWidth="1"/>
    <col min="15" max="15" width="33.6640625" customWidth="1"/>
    <col min="16" max="17" width="8.83203125" customWidth="1"/>
  </cols>
  <sheetData>
    <row r="1" spans="1:17" ht="15.75" customHeight="1">
      <c r="A1" s="1" t="s">
        <v>7085</v>
      </c>
      <c r="B1" s="1" t="s">
        <v>7086</v>
      </c>
      <c r="C1" s="2" t="s">
        <v>7087</v>
      </c>
      <c r="D1" s="1" t="s">
        <v>7088</v>
      </c>
      <c r="E1" s="1" t="s">
        <v>7090</v>
      </c>
      <c r="F1" s="1" t="s">
        <v>7091</v>
      </c>
      <c r="G1" s="1" t="s">
        <v>7099</v>
      </c>
      <c r="H1" s="1" t="s">
        <v>7100</v>
      </c>
      <c r="I1" s="1" t="s">
        <v>7089</v>
      </c>
      <c r="J1" s="1" t="s">
        <v>7092</v>
      </c>
      <c r="K1" s="1" t="s">
        <v>7093</v>
      </c>
      <c r="L1" s="1" t="s">
        <v>7094</v>
      </c>
      <c r="M1" s="1" t="s">
        <v>7095</v>
      </c>
      <c r="N1" s="1" t="s">
        <v>7093</v>
      </c>
      <c r="O1" s="1" t="s">
        <v>7096</v>
      </c>
      <c r="P1" s="1" t="s">
        <v>7097</v>
      </c>
      <c r="Q1" s="1" t="s">
        <v>7098</v>
      </c>
    </row>
    <row r="2" spans="1:17" ht="15.75" customHeight="1">
      <c r="A2" s="1" t="s">
        <v>10</v>
      </c>
      <c r="B2" s="1" t="s">
        <v>3526</v>
      </c>
      <c r="C2" s="1" t="s">
        <v>3527</v>
      </c>
      <c r="D2" s="1" t="s">
        <v>1961</v>
      </c>
      <c r="E2" s="1" t="s">
        <v>3528</v>
      </c>
      <c r="F2" s="1" t="s">
        <v>3529</v>
      </c>
      <c r="H2" s="1">
        <v>61</v>
      </c>
      <c r="I2" s="1">
        <v>2010</v>
      </c>
      <c r="J2" s="1">
        <v>37</v>
      </c>
      <c r="K2" s="1">
        <v>5</v>
      </c>
      <c r="O2" s="1" t="s">
        <v>3530</v>
      </c>
    </row>
    <row r="3" spans="1:17" ht="15.75" customHeight="1">
      <c r="A3" s="1" t="s">
        <v>0</v>
      </c>
      <c r="B3" s="1" t="s">
        <v>3743</v>
      </c>
      <c r="C3" s="1" t="s">
        <v>3744</v>
      </c>
      <c r="D3" s="1" t="s">
        <v>3745</v>
      </c>
      <c r="E3" s="1" t="s">
        <v>3746</v>
      </c>
      <c r="F3" s="1" t="s">
        <v>3747</v>
      </c>
      <c r="G3" s="1">
        <v>40</v>
      </c>
      <c r="H3" s="1">
        <v>53</v>
      </c>
      <c r="I3" s="1">
        <v>2010</v>
      </c>
      <c r="J3" s="1">
        <v>33</v>
      </c>
      <c r="K3" s="1">
        <v>2</v>
      </c>
      <c r="L3" s="1">
        <v>157</v>
      </c>
      <c r="M3" s="1">
        <v>180</v>
      </c>
      <c r="N3" s="1" t="s">
        <v>6</v>
      </c>
      <c r="O3" s="1" t="s">
        <v>3748</v>
      </c>
      <c r="P3" s="3" t="str">
        <f>HYPERLINK("http://dx.doi.org/10.1177/0160017609336998","http://dx.doi.org/10.1177/0160017609336998")</f>
        <v>http://dx.doi.org/10.1177/0160017609336998</v>
      </c>
    </row>
    <row r="4" spans="1:17" ht="15.75" customHeight="1">
      <c r="A4" s="1" t="s">
        <v>10</v>
      </c>
      <c r="B4" s="1" t="s">
        <v>3357</v>
      </c>
      <c r="C4" s="1" t="s">
        <v>3358</v>
      </c>
      <c r="D4" s="1" t="s">
        <v>3359</v>
      </c>
      <c r="E4" s="1" t="s">
        <v>3360</v>
      </c>
      <c r="F4" s="1" t="s">
        <v>3361</v>
      </c>
      <c r="H4" s="1">
        <v>38</v>
      </c>
      <c r="I4" s="1">
        <v>2010</v>
      </c>
      <c r="J4" s="1">
        <v>22</v>
      </c>
      <c r="K4" s="1">
        <v>1</v>
      </c>
      <c r="O4" s="1" t="s">
        <v>3362</v>
      </c>
    </row>
    <row r="5" spans="1:17" ht="15.75" customHeight="1">
      <c r="A5" s="1" t="s">
        <v>10</v>
      </c>
      <c r="B5" s="1" t="s">
        <v>86</v>
      </c>
      <c r="C5" s="1" t="s">
        <v>87</v>
      </c>
      <c r="D5" s="1" t="s">
        <v>88</v>
      </c>
      <c r="E5" s="1" t="s">
        <v>89</v>
      </c>
      <c r="F5" s="1" t="s">
        <v>90</v>
      </c>
      <c r="H5" s="1">
        <v>34</v>
      </c>
      <c r="I5" s="1">
        <v>2010</v>
      </c>
      <c r="J5" s="1">
        <v>38</v>
      </c>
      <c r="K5" s="1">
        <v>7</v>
      </c>
      <c r="O5" s="1" t="s">
        <v>91</v>
      </c>
    </row>
    <row r="6" spans="1:17" ht="15.75" customHeight="1">
      <c r="A6" s="1" t="s">
        <v>10</v>
      </c>
      <c r="B6" s="1" t="s">
        <v>2954</v>
      </c>
      <c r="C6" s="1" t="s">
        <v>2955</v>
      </c>
      <c r="D6" s="1" t="s">
        <v>2956</v>
      </c>
      <c r="E6" s="1" t="s">
        <v>2957</v>
      </c>
      <c r="F6" s="1" t="s">
        <v>2958</v>
      </c>
      <c r="H6" s="1">
        <v>32</v>
      </c>
      <c r="I6" s="1">
        <v>2010</v>
      </c>
      <c r="J6" s="1">
        <v>91</v>
      </c>
      <c r="K6" s="1" t="s">
        <v>2959</v>
      </c>
      <c r="O6" s="1" t="s">
        <v>2960</v>
      </c>
    </row>
    <row r="7" spans="1:17" ht="15.75" customHeight="1">
      <c r="A7" s="1" t="s">
        <v>0</v>
      </c>
      <c r="B7" s="1" t="s">
        <v>1931</v>
      </c>
      <c r="C7" s="1" t="s">
        <v>1932</v>
      </c>
      <c r="D7" s="1" t="s">
        <v>1933</v>
      </c>
      <c r="E7" s="1" t="s">
        <v>1934</v>
      </c>
      <c r="F7" s="1" t="s">
        <v>1935</v>
      </c>
      <c r="G7" s="1">
        <v>39</v>
      </c>
      <c r="H7" s="1">
        <v>26</v>
      </c>
      <c r="I7" s="1">
        <v>2010</v>
      </c>
      <c r="J7" s="1">
        <v>36</v>
      </c>
      <c r="K7" s="1">
        <v>108</v>
      </c>
      <c r="L7" s="1">
        <v>95</v>
      </c>
      <c r="M7" s="1">
        <v>121</v>
      </c>
      <c r="N7" s="1" t="s">
        <v>6</v>
      </c>
      <c r="O7" s="1" t="s">
        <v>6</v>
      </c>
      <c r="P7" s="1" t="s">
        <v>6</v>
      </c>
    </row>
    <row r="8" spans="1:17" ht="15.75" customHeight="1">
      <c r="A8" s="1" t="s">
        <v>0</v>
      </c>
      <c r="B8" s="1" t="s">
        <v>4943</v>
      </c>
      <c r="C8" s="1" t="s">
        <v>4944</v>
      </c>
      <c r="D8" s="1" t="s">
        <v>4945</v>
      </c>
      <c r="E8" s="1" t="s">
        <v>4946</v>
      </c>
      <c r="F8" s="1" t="s">
        <v>4947</v>
      </c>
      <c r="G8" s="1">
        <v>54</v>
      </c>
      <c r="H8" s="1">
        <v>23</v>
      </c>
      <c r="I8" s="1">
        <v>2010</v>
      </c>
      <c r="J8" s="1">
        <v>16</v>
      </c>
      <c r="K8" s="1">
        <v>8</v>
      </c>
      <c r="L8" s="1">
        <v>881</v>
      </c>
      <c r="M8" s="1">
        <v>901</v>
      </c>
      <c r="N8" s="1" t="s">
        <v>6</v>
      </c>
      <c r="O8" s="1" t="s">
        <v>4948</v>
      </c>
      <c r="P8" s="3" t="str">
        <f>HYPERLINK("http://dx.doi.org/10.1177/1077801210376224","http://dx.doi.org/10.1177/1077801210376224")</f>
        <v>http://dx.doi.org/10.1177/1077801210376224</v>
      </c>
    </row>
    <row r="9" spans="1:17" ht="15.75" customHeight="1">
      <c r="A9" s="1" t="s">
        <v>10</v>
      </c>
      <c r="B9" s="1" t="s">
        <v>944</v>
      </c>
      <c r="C9" s="1" t="s">
        <v>945</v>
      </c>
      <c r="D9" s="1" t="s">
        <v>946</v>
      </c>
      <c r="E9" s="1" t="s">
        <v>947</v>
      </c>
      <c r="F9" s="1" t="s">
        <v>948</v>
      </c>
      <c r="H9" s="1">
        <v>23</v>
      </c>
      <c r="I9" s="1">
        <v>2010</v>
      </c>
      <c r="J9" s="1">
        <v>15</v>
      </c>
      <c r="K9" s="1">
        <v>1</v>
      </c>
      <c r="O9" s="1" t="s">
        <v>949</v>
      </c>
    </row>
    <row r="10" spans="1:17" ht="15.75" customHeight="1">
      <c r="A10" s="1" t="s">
        <v>10</v>
      </c>
      <c r="B10" s="1" t="s">
        <v>1706</v>
      </c>
      <c r="C10" s="1" t="s">
        <v>1707</v>
      </c>
      <c r="D10" s="1" t="s">
        <v>662</v>
      </c>
      <c r="E10" s="1" t="s">
        <v>1708</v>
      </c>
      <c r="F10" s="1" t="s">
        <v>1709</v>
      </c>
      <c r="H10" s="1">
        <v>22</v>
      </c>
      <c r="I10" s="1">
        <v>2010</v>
      </c>
      <c r="J10" s="1">
        <v>8</v>
      </c>
      <c r="K10" s="1">
        <v>2</v>
      </c>
      <c r="O10" s="1" t="s">
        <v>1710</v>
      </c>
    </row>
    <row r="11" spans="1:17" ht="15.75" customHeight="1">
      <c r="A11" s="1" t="s">
        <v>0</v>
      </c>
      <c r="B11" s="1" t="s">
        <v>1390</v>
      </c>
      <c r="C11" s="1" t="s">
        <v>1391</v>
      </c>
      <c r="D11" s="1" t="s">
        <v>1392</v>
      </c>
      <c r="E11" s="1" t="s">
        <v>1393</v>
      </c>
      <c r="F11" s="1" t="s">
        <v>1394</v>
      </c>
      <c r="G11" s="1">
        <v>17</v>
      </c>
      <c r="H11" s="1">
        <v>20</v>
      </c>
      <c r="I11" s="1">
        <v>2010</v>
      </c>
      <c r="J11" s="1">
        <v>41</v>
      </c>
      <c r="K11" s="1">
        <v>2</v>
      </c>
      <c r="L11" s="1">
        <v>205</v>
      </c>
      <c r="M11" s="1" t="s">
        <v>1395</v>
      </c>
      <c r="N11" s="1" t="s">
        <v>6</v>
      </c>
      <c r="O11" s="1" t="s">
        <v>1396</v>
      </c>
      <c r="P11" s="3" t="str">
        <f>HYPERLINK("http://dx.doi.org/10.3138/jcfs.41.2.205","http://dx.doi.org/10.3138/jcfs.41.2.205")</f>
        <v>http://dx.doi.org/10.3138/jcfs.41.2.205</v>
      </c>
    </row>
    <row r="12" spans="1:17" ht="15.75" customHeight="1">
      <c r="A12" s="1" t="s">
        <v>10</v>
      </c>
      <c r="B12" s="1" t="s">
        <v>6339</v>
      </c>
      <c r="C12" s="1" t="s">
        <v>6340</v>
      </c>
      <c r="D12" s="1" t="s">
        <v>1961</v>
      </c>
      <c r="E12" s="1" t="s">
        <v>6341</v>
      </c>
      <c r="F12" s="1" t="s">
        <v>6342</v>
      </c>
      <c r="H12" s="1">
        <v>17</v>
      </c>
      <c r="I12" s="1">
        <v>2010</v>
      </c>
      <c r="J12" s="1">
        <v>37</v>
      </c>
      <c r="K12" s="1">
        <v>5</v>
      </c>
      <c r="O12" s="1" t="s">
        <v>6343</v>
      </c>
    </row>
    <row r="13" spans="1:17" ht="15.75" customHeight="1">
      <c r="A13" s="1" t="s">
        <v>10</v>
      </c>
      <c r="B13" s="1" t="s">
        <v>4836</v>
      </c>
      <c r="C13" s="1" t="s">
        <v>4837</v>
      </c>
      <c r="D13" s="1" t="s">
        <v>1086</v>
      </c>
      <c r="F13" s="1" t="s">
        <v>4838</v>
      </c>
      <c r="H13" s="1">
        <v>16</v>
      </c>
      <c r="I13" s="1">
        <v>2010</v>
      </c>
      <c r="J13" s="1">
        <v>52</v>
      </c>
      <c r="K13" s="1">
        <v>2</v>
      </c>
      <c r="O13" s="1" t="s">
        <v>4839</v>
      </c>
    </row>
    <row r="14" spans="1:17" ht="15.75" customHeight="1">
      <c r="A14" s="1" t="s">
        <v>10</v>
      </c>
      <c r="B14" s="1" t="s">
        <v>1959</v>
      </c>
      <c r="C14" s="1" t="s">
        <v>1960</v>
      </c>
      <c r="D14" s="1" t="s">
        <v>1961</v>
      </c>
      <c r="E14" s="1" t="s">
        <v>1962</v>
      </c>
      <c r="F14" s="1" t="s">
        <v>1963</v>
      </c>
      <c r="H14" s="1">
        <v>12</v>
      </c>
      <c r="I14" s="1">
        <v>2010</v>
      </c>
      <c r="J14" s="1">
        <v>37</v>
      </c>
      <c r="K14" s="1">
        <v>5</v>
      </c>
      <c r="O14" s="1" t="s">
        <v>1964</v>
      </c>
    </row>
    <row r="15" spans="1:17" ht="15.75" customHeight="1">
      <c r="A15" s="1" t="s">
        <v>10</v>
      </c>
      <c r="B15" s="1" t="s">
        <v>5741</v>
      </c>
      <c r="C15" s="1" t="s">
        <v>5742</v>
      </c>
      <c r="D15" s="1" t="s">
        <v>479</v>
      </c>
      <c r="E15" s="1" t="s">
        <v>5743</v>
      </c>
      <c r="F15" s="1" t="s">
        <v>5744</v>
      </c>
      <c r="H15" s="1">
        <v>12</v>
      </c>
      <c r="I15" s="1">
        <v>2010</v>
      </c>
      <c r="J15" s="1">
        <v>44</v>
      </c>
      <c r="K15" s="1">
        <v>4</v>
      </c>
      <c r="O15" s="1" t="s">
        <v>5745</v>
      </c>
    </row>
    <row r="16" spans="1:17" ht="15.75" customHeight="1">
      <c r="A16" s="1" t="s">
        <v>10</v>
      </c>
      <c r="B16" s="1" t="s">
        <v>181</v>
      </c>
      <c r="C16" s="1" t="s">
        <v>182</v>
      </c>
      <c r="D16" s="1" t="s">
        <v>183</v>
      </c>
      <c r="E16" s="1" t="s">
        <v>184</v>
      </c>
      <c r="F16" s="1" t="s">
        <v>185</v>
      </c>
      <c r="H16" s="1">
        <v>12</v>
      </c>
      <c r="I16" s="1">
        <v>2010</v>
      </c>
      <c r="J16" s="1">
        <v>8</v>
      </c>
      <c r="K16" s="1">
        <v>1</v>
      </c>
      <c r="O16" s="1" t="s">
        <v>186</v>
      </c>
    </row>
    <row r="17" spans="1:16" ht="15.75" customHeight="1">
      <c r="A17" s="1" t="s">
        <v>0</v>
      </c>
      <c r="B17" s="1" t="s">
        <v>6151</v>
      </c>
      <c r="C17" s="1" t="s">
        <v>6152</v>
      </c>
      <c r="D17" s="1" t="s">
        <v>3963</v>
      </c>
      <c r="E17" s="1" t="s">
        <v>6153</v>
      </c>
      <c r="F17" s="1" t="s">
        <v>6154</v>
      </c>
      <c r="G17" s="1">
        <v>18</v>
      </c>
      <c r="H17" s="1">
        <v>12</v>
      </c>
      <c r="I17" s="1">
        <v>2010</v>
      </c>
      <c r="J17" s="1">
        <v>38</v>
      </c>
      <c r="K17" s="1">
        <v>2</v>
      </c>
      <c r="L17" s="1">
        <v>89</v>
      </c>
      <c r="M17" s="1">
        <v>101</v>
      </c>
      <c r="N17" s="1" t="s">
        <v>6</v>
      </c>
      <c r="O17" s="1" t="s">
        <v>6</v>
      </c>
      <c r="P17" s="1" t="s">
        <v>6</v>
      </c>
    </row>
    <row r="18" spans="1:16" ht="15.75" customHeight="1">
      <c r="A18" s="1" t="s">
        <v>10</v>
      </c>
      <c r="B18" s="1" t="s">
        <v>4937</v>
      </c>
      <c r="C18" s="1" t="s">
        <v>4938</v>
      </c>
      <c r="D18" s="1" t="s">
        <v>4939</v>
      </c>
      <c r="E18" s="1" t="s">
        <v>4940</v>
      </c>
      <c r="F18" s="1" t="s">
        <v>4941</v>
      </c>
      <c r="H18" s="1">
        <v>11</v>
      </c>
      <c r="I18" s="1">
        <v>2010</v>
      </c>
      <c r="J18" s="1">
        <v>24</v>
      </c>
      <c r="K18" s="1">
        <v>1</v>
      </c>
      <c r="O18" s="1" t="s">
        <v>4942</v>
      </c>
    </row>
    <row r="19" spans="1:16" ht="15.75" customHeight="1">
      <c r="A19" s="1" t="s">
        <v>0</v>
      </c>
      <c r="B19" s="1" t="s">
        <v>1150</v>
      </c>
      <c r="C19" s="1" t="s">
        <v>1151</v>
      </c>
      <c r="D19" s="1" t="s">
        <v>1152</v>
      </c>
      <c r="E19" s="8" t="s">
        <v>7114</v>
      </c>
      <c r="F19" s="1" t="s">
        <v>1153</v>
      </c>
      <c r="G19" s="1">
        <v>57</v>
      </c>
      <c r="H19" s="1">
        <v>10</v>
      </c>
      <c r="I19" s="1">
        <v>2010</v>
      </c>
      <c r="J19" s="1">
        <v>4</v>
      </c>
      <c r="K19" s="1">
        <v>2</v>
      </c>
      <c r="L19" s="1">
        <v>220</v>
      </c>
      <c r="M19" s="1">
        <v>233</v>
      </c>
      <c r="N19" s="1" t="s">
        <v>6</v>
      </c>
      <c r="O19" s="1" t="s">
        <v>6</v>
      </c>
      <c r="P19" s="1" t="s">
        <v>6</v>
      </c>
    </row>
    <row r="20" spans="1:16" ht="15.75" customHeight="1">
      <c r="A20" s="1" t="s">
        <v>0</v>
      </c>
      <c r="B20" s="1" t="s">
        <v>3563</v>
      </c>
      <c r="C20" s="1" t="s">
        <v>3564</v>
      </c>
      <c r="D20" s="1" t="s">
        <v>3565</v>
      </c>
      <c r="E20" s="1" t="s">
        <v>3566</v>
      </c>
      <c r="F20" s="1" t="s">
        <v>3567</v>
      </c>
      <c r="G20" s="1">
        <v>15</v>
      </c>
      <c r="H20" s="1">
        <v>8</v>
      </c>
      <c r="I20" s="1">
        <v>2010</v>
      </c>
      <c r="J20" s="1">
        <v>5</v>
      </c>
      <c r="K20" s="1" t="s">
        <v>605</v>
      </c>
    </row>
    <row r="21" spans="1:16" ht="15.75" customHeight="1">
      <c r="A21" s="1" t="s">
        <v>0</v>
      </c>
      <c r="B21" s="1" t="s">
        <v>3940</v>
      </c>
      <c r="C21" s="1" t="s">
        <v>3941</v>
      </c>
      <c r="D21" s="1" t="s">
        <v>1506</v>
      </c>
      <c r="E21" s="1" t="s">
        <v>3942</v>
      </c>
      <c r="F21" s="1" t="s">
        <v>3943</v>
      </c>
      <c r="G21" s="1">
        <v>33</v>
      </c>
      <c r="H21" s="1">
        <v>4</v>
      </c>
      <c r="I21" s="1">
        <v>2010</v>
      </c>
      <c r="J21" s="1">
        <v>14</v>
      </c>
      <c r="K21" s="1">
        <v>331</v>
      </c>
      <c r="L21" s="1" t="s">
        <v>6</v>
      </c>
      <c r="M21" s="1" t="s">
        <v>6</v>
      </c>
      <c r="N21" s="1" t="s">
        <v>6</v>
      </c>
      <c r="O21" s="1" t="s">
        <v>6</v>
      </c>
      <c r="P21" s="1" t="s">
        <v>6</v>
      </c>
    </row>
    <row r="22" spans="1:16" ht="15.75" customHeight="1">
      <c r="A22" s="1" t="s">
        <v>0</v>
      </c>
      <c r="B22" s="1" t="s">
        <v>4059</v>
      </c>
      <c r="C22" s="1" t="s">
        <v>4060</v>
      </c>
      <c r="D22" s="1" t="s">
        <v>1009</v>
      </c>
      <c r="E22" s="1" t="s">
        <v>4061</v>
      </c>
      <c r="F22" s="1" t="s">
        <v>4062</v>
      </c>
      <c r="G22" s="1">
        <v>20</v>
      </c>
      <c r="H22" s="1">
        <v>4</v>
      </c>
      <c r="I22" s="1">
        <v>2010</v>
      </c>
      <c r="J22" s="1">
        <v>16</v>
      </c>
      <c r="K22" s="1">
        <v>64</v>
      </c>
      <c r="L22" s="1">
        <v>9</v>
      </c>
      <c r="M22" s="1">
        <v>29</v>
      </c>
      <c r="N22" s="1" t="s">
        <v>6</v>
      </c>
      <c r="O22" s="1" t="s">
        <v>6</v>
      </c>
      <c r="P22" s="1" t="s">
        <v>6</v>
      </c>
    </row>
    <row r="23" spans="1:16" ht="15.75" customHeight="1">
      <c r="A23" s="1" t="s">
        <v>0</v>
      </c>
      <c r="B23" s="1" t="s">
        <v>2321</v>
      </c>
      <c r="C23" s="1" t="s">
        <v>2322</v>
      </c>
      <c r="D23" s="1" t="s">
        <v>2323</v>
      </c>
      <c r="E23" s="1" t="s">
        <v>2324</v>
      </c>
      <c r="F23" s="1" t="s">
        <v>2325</v>
      </c>
      <c r="G23" s="1">
        <v>30</v>
      </c>
      <c r="H23" s="1">
        <v>1</v>
      </c>
      <c r="I23" s="1">
        <v>2010</v>
      </c>
      <c r="J23" s="1">
        <v>30</v>
      </c>
      <c r="K23" s="1">
        <v>3</v>
      </c>
      <c r="L23" s="1">
        <v>697</v>
      </c>
      <c r="M23" s="1">
        <v>721</v>
      </c>
      <c r="N23" s="1" t="s">
        <v>6</v>
      </c>
      <c r="O23" s="1" t="s">
        <v>6</v>
      </c>
      <c r="P23" s="1" t="s">
        <v>6</v>
      </c>
    </row>
    <row r="24" spans="1:16" ht="15.75" customHeight="1">
      <c r="A24" s="1" t="s">
        <v>10</v>
      </c>
      <c r="B24" s="1" t="s">
        <v>4759</v>
      </c>
      <c r="C24" s="1" t="s">
        <v>4760</v>
      </c>
      <c r="D24" s="1" t="s">
        <v>4761</v>
      </c>
      <c r="E24" s="1" t="s">
        <v>4762</v>
      </c>
      <c r="F24" s="1" t="s">
        <v>4763</v>
      </c>
      <c r="H24" s="1">
        <v>0</v>
      </c>
      <c r="I24" s="1">
        <v>2010</v>
      </c>
      <c r="J24" s="1">
        <v>11</v>
      </c>
      <c r="K24" s="1">
        <v>2</v>
      </c>
      <c r="O24" s="1" t="s">
        <v>4764</v>
      </c>
    </row>
    <row r="25" spans="1:16" ht="15.75" customHeight="1">
      <c r="A25" s="1" t="s">
        <v>10</v>
      </c>
      <c r="B25" s="1" t="s">
        <v>62</v>
      </c>
      <c r="C25" s="1" t="s">
        <v>63</v>
      </c>
      <c r="D25" s="1" t="s">
        <v>64</v>
      </c>
      <c r="E25" s="1" t="s">
        <v>65</v>
      </c>
      <c r="F25" s="1" t="s">
        <v>66</v>
      </c>
      <c r="H25" s="1">
        <v>0</v>
      </c>
      <c r="I25" s="1">
        <v>2010</v>
      </c>
      <c r="J25" s="1">
        <v>186</v>
      </c>
      <c r="K25" s="1">
        <v>741</v>
      </c>
      <c r="O25" s="1" t="s">
        <v>67</v>
      </c>
    </row>
    <row r="26" spans="1:16" ht="15.75" customHeight="1">
      <c r="A26" s="1" t="s">
        <v>0</v>
      </c>
      <c r="B26" s="1" t="s">
        <v>6841</v>
      </c>
      <c r="C26" s="1" t="s">
        <v>6842</v>
      </c>
      <c r="D26" s="1" t="s">
        <v>1021</v>
      </c>
      <c r="E26" s="1" t="s">
        <v>6843</v>
      </c>
      <c r="F26" s="1" t="s">
        <v>6844</v>
      </c>
      <c r="G26" s="1">
        <v>34</v>
      </c>
      <c r="H26" s="1">
        <v>0</v>
      </c>
      <c r="I26" s="1">
        <v>2010</v>
      </c>
      <c r="J26" s="1" t="s">
        <v>6</v>
      </c>
      <c r="K26" s="1">
        <v>501</v>
      </c>
      <c r="L26" s="1">
        <v>73</v>
      </c>
      <c r="M26" s="1">
        <v>94</v>
      </c>
      <c r="N26" s="1" t="s">
        <v>6</v>
      </c>
      <c r="O26" s="1" t="s">
        <v>6</v>
      </c>
      <c r="P26" s="1" t="s">
        <v>6</v>
      </c>
    </row>
    <row r="27" spans="1:16" ht="15.75" customHeight="1">
      <c r="A27" s="1" t="s">
        <v>900</v>
      </c>
      <c r="B27" s="1" t="s">
        <v>901</v>
      </c>
      <c r="C27" s="1" t="s">
        <v>902</v>
      </c>
      <c r="D27" s="1" t="s">
        <v>903</v>
      </c>
      <c r="E27" s="1" t="s">
        <v>7108</v>
      </c>
      <c r="F27" s="1" t="s">
        <v>904</v>
      </c>
      <c r="G27" s="1">
        <v>166</v>
      </c>
      <c r="H27" s="1">
        <v>175</v>
      </c>
      <c r="I27" s="1">
        <v>2011</v>
      </c>
      <c r="J27" s="1">
        <v>44</v>
      </c>
      <c r="K27" s="1" t="s">
        <v>6</v>
      </c>
      <c r="L27" s="1">
        <v>129</v>
      </c>
      <c r="M27" s="1">
        <v>184</v>
      </c>
      <c r="N27" s="1" t="s">
        <v>6</v>
      </c>
      <c r="O27" s="1" t="s">
        <v>905</v>
      </c>
      <c r="P27" s="3" t="str">
        <f>HYPERLINK("http://dx.doi.org/10.1016/B978-0-12-385522-0.00003-2","http://dx.doi.org/10.1016/B978-0-12-385522-0.00003-2")</f>
        <v>http://dx.doi.org/10.1016/B978-0-12-385522-0.00003-2</v>
      </c>
    </row>
    <row r="28" spans="1:16" ht="15.75" customHeight="1">
      <c r="A28" s="1" t="s">
        <v>10</v>
      </c>
      <c r="B28" s="1" t="s">
        <v>450</v>
      </c>
      <c r="C28" s="1" t="s">
        <v>451</v>
      </c>
      <c r="D28" s="1" t="s">
        <v>452</v>
      </c>
      <c r="E28" s="1" t="s">
        <v>453</v>
      </c>
      <c r="F28" s="1" t="s">
        <v>454</v>
      </c>
      <c r="H28" s="1">
        <v>64</v>
      </c>
      <c r="I28" s="1">
        <v>2011</v>
      </c>
      <c r="J28" s="1">
        <v>36</v>
      </c>
      <c r="K28" s="1">
        <v>3</v>
      </c>
      <c r="O28" s="1" t="s">
        <v>455</v>
      </c>
    </row>
    <row r="29" spans="1:16" ht="15.75" customHeight="1">
      <c r="A29" s="1" t="s">
        <v>10</v>
      </c>
      <c r="B29" s="1" t="s">
        <v>6568</v>
      </c>
      <c r="C29" s="1" t="s">
        <v>6569</v>
      </c>
      <c r="D29" s="1" t="s">
        <v>2759</v>
      </c>
      <c r="E29" s="1" t="s">
        <v>6570</v>
      </c>
      <c r="F29" s="1" t="s">
        <v>6571</v>
      </c>
      <c r="H29" s="1">
        <v>52</v>
      </c>
      <c r="I29" s="1">
        <v>2011</v>
      </c>
      <c r="J29" s="1">
        <v>30</v>
      </c>
      <c r="K29" s="1">
        <v>3</v>
      </c>
      <c r="O29" s="1" t="s">
        <v>6572</v>
      </c>
    </row>
    <row r="30" spans="1:16" ht="15.75" customHeight="1">
      <c r="A30" s="1" t="s">
        <v>10</v>
      </c>
      <c r="B30" s="1" t="s">
        <v>4269</v>
      </c>
      <c r="C30" s="1" t="s">
        <v>4270</v>
      </c>
      <c r="D30" s="1" t="s">
        <v>4271</v>
      </c>
      <c r="E30" s="1" t="s">
        <v>4272</v>
      </c>
      <c r="F30" s="1" t="s">
        <v>4273</v>
      </c>
      <c r="H30" s="1">
        <v>34</v>
      </c>
      <c r="I30" s="1">
        <v>2011</v>
      </c>
      <c r="J30" s="1">
        <v>22</v>
      </c>
      <c r="K30" s="1">
        <v>1</v>
      </c>
      <c r="O30" s="1" t="s">
        <v>4274</v>
      </c>
    </row>
    <row r="31" spans="1:16" ht="15.75" customHeight="1">
      <c r="A31" s="1" t="s">
        <v>10</v>
      </c>
      <c r="B31" s="1" t="s">
        <v>3363</v>
      </c>
      <c r="C31" s="1" t="s">
        <v>3364</v>
      </c>
      <c r="D31" s="1" t="s">
        <v>2503</v>
      </c>
      <c r="E31" s="1" t="s">
        <v>3365</v>
      </c>
      <c r="F31" s="1" t="s">
        <v>3366</v>
      </c>
      <c r="H31" s="1">
        <v>19</v>
      </c>
      <c r="I31" s="1">
        <v>2011</v>
      </c>
      <c r="J31" s="1">
        <v>16</v>
      </c>
      <c r="K31" s="1">
        <v>6</v>
      </c>
      <c r="O31" s="1" t="s">
        <v>3367</v>
      </c>
    </row>
    <row r="32" spans="1:16" ht="15.75" customHeight="1">
      <c r="A32" s="1" t="s">
        <v>10</v>
      </c>
      <c r="B32" s="1" t="s">
        <v>4958</v>
      </c>
      <c r="C32" s="1" t="s">
        <v>4959</v>
      </c>
      <c r="D32" s="1" t="s">
        <v>1074</v>
      </c>
      <c r="E32" s="1" t="s">
        <v>4960</v>
      </c>
      <c r="F32" s="1" t="s">
        <v>4961</v>
      </c>
      <c r="H32" s="1">
        <v>18</v>
      </c>
      <c r="I32" s="1">
        <v>2011</v>
      </c>
      <c r="J32" s="1">
        <v>31</v>
      </c>
      <c r="K32" s="1">
        <v>2</v>
      </c>
      <c r="O32" s="1" t="s">
        <v>4962</v>
      </c>
    </row>
    <row r="33" spans="1:16" ht="15.75" customHeight="1">
      <c r="A33" s="1" t="s">
        <v>10</v>
      </c>
      <c r="B33" s="1" t="s">
        <v>3305</v>
      </c>
      <c r="C33" s="1" t="s">
        <v>3306</v>
      </c>
      <c r="D33" s="1" t="s">
        <v>3307</v>
      </c>
      <c r="E33" s="1" t="s">
        <v>3308</v>
      </c>
      <c r="F33" s="1" t="s">
        <v>3309</v>
      </c>
      <c r="H33" s="1">
        <v>17</v>
      </c>
      <c r="I33" s="1">
        <v>2011</v>
      </c>
      <c r="J33" s="1">
        <v>30</v>
      </c>
      <c r="K33" s="1">
        <v>3</v>
      </c>
      <c r="O33" s="1" t="s">
        <v>3310</v>
      </c>
    </row>
    <row r="34" spans="1:16" ht="15.75" customHeight="1">
      <c r="A34" s="1" t="s">
        <v>10</v>
      </c>
      <c r="B34" s="1" t="s">
        <v>840</v>
      </c>
      <c r="C34" s="1" t="s">
        <v>841</v>
      </c>
      <c r="D34" s="1" t="s">
        <v>842</v>
      </c>
      <c r="E34" s="1" t="s">
        <v>843</v>
      </c>
      <c r="F34" s="1" t="s">
        <v>844</v>
      </c>
      <c r="H34" s="1">
        <v>4</v>
      </c>
      <c r="I34" s="1">
        <v>2011</v>
      </c>
      <c r="J34" s="1">
        <v>66</v>
      </c>
      <c r="K34" s="1">
        <v>2</v>
      </c>
      <c r="O34" s="1" t="s">
        <v>845</v>
      </c>
    </row>
    <row r="35" spans="1:16" ht="15.75" customHeight="1">
      <c r="A35" s="1" t="s">
        <v>10</v>
      </c>
      <c r="B35" s="1" t="s">
        <v>2537</v>
      </c>
      <c r="C35" s="1" t="s">
        <v>2538</v>
      </c>
      <c r="D35" s="1" t="s">
        <v>2539</v>
      </c>
      <c r="E35" s="1" t="s">
        <v>2540</v>
      </c>
      <c r="F35" s="1" t="s">
        <v>2541</v>
      </c>
      <c r="H35" s="1">
        <v>3</v>
      </c>
      <c r="I35" s="1">
        <v>2011</v>
      </c>
      <c r="J35" s="1">
        <v>51</v>
      </c>
      <c r="K35" s="1">
        <v>1</v>
      </c>
      <c r="O35" s="1" t="s">
        <v>2542</v>
      </c>
    </row>
    <row r="36" spans="1:16" ht="15.75" customHeight="1">
      <c r="A36" s="1" t="s">
        <v>10</v>
      </c>
      <c r="B36" s="1" t="s">
        <v>5892</v>
      </c>
      <c r="C36" s="1" t="s">
        <v>5893</v>
      </c>
      <c r="D36" s="1" t="s">
        <v>70</v>
      </c>
      <c r="E36" s="1" t="s">
        <v>5894</v>
      </c>
      <c r="F36" s="1" t="s">
        <v>5895</v>
      </c>
      <c r="H36" s="1">
        <v>2</v>
      </c>
      <c r="I36" s="1">
        <v>2011</v>
      </c>
      <c r="J36" s="1">
        <v>6</v>
      </c>
      <c r="K36" s="1">
        <v>2</v>
      </c>
    </row>
    <row r="37" spans="1:16" ht="15.75" customHeight="1">
      <c r="A37" s="1" t="s">
        <v>10</v>
      </c>
      <c r="B37" s="1" t="s">
        <v>6983</v>
      </c>
      <c r="C37" s="1" t="s">
        <v>6984</v>
      </c>
      <c r="D37" s="1" t="s">
        <v>1702</v>
      </c>
      <c r="E37" s="1" t="s">
        <v>6985</v>
      </c>
      <c r="F37" s="1" t="s">
        <v>6986</v>
      </c>
      <c r="H37" s="1">
        <v>1</v>
      </c>
      <c r="I37" s="1">
        <v>2011</v>
      </c>
      <c r="J37" s="1">
        <v>10</v>
      </c>
      <c r="K37" s="1">
        <v>1</v>
      </c>
      <c r="O37" s="1" t="s">
        <v>6987</v>
      </c>
    </row>
    <row r="38" spans="1:16" ht="15.75" customHeight="1">
      <c r="A38" s="1" t="s">
        <v>10</v>
      </c>
      <c r="B38" s="1" t="s">
        <v>6523</v>
      </c>
      <c r="C38" s="1" t="s">
        <v>6528</v>
      </c>
      <c r="D38" s="1" t="s">
        <v>6529</v>
      </c>
      <c r="F38" s="1" t="s">
        <v>6530</v>
      </c>
      <c r="H38" s="1">
        <v>0</v>
      </c>
      <c r="I38" s="1">
        <v>2011</v>
      </c>
      <c r="J38" s="1">
        <v>39</v>
      </c>
      <c r="K38" s="1">
        <v>4</v>
      </c>
      <c r="O38" s="1" t="s">
        <v>6531</v>
      </c>
    </row>
    <row r="39" spans="1:16" ht="15.75" customHeight="1">
      <c r="A39" s="1" t="s">
        <v>31</v>
      </c>
      <c r="B39" s="1" t="s">
        <v>6558</v>
      </c>
      <c r="C39" s="1" t="s">
        <v>6559</v>
      </c>
      <c r="D39" s="1" t="s">
        <v>6559</v>
      </c>
      <c r="E39" s="1" t="s">
        <v>6560</v>
      </c>
      <c r="F39" s="1" t="s">
        <v>6561</v>
      </c>
      <c r="H39" s="1">
        <v>401</v>
      </c>
      <c r="I39" s="1">
        <v>2012</v>
      </c>
      <c r="O39" s="1" t="s">
        <v>6562</v>
      </c>
    </row>
    <row r="40" spans="1:16" ht="15.75" customHeight="1">
      <c r="A40" s="1" t="s">
        <v>10</v>
      </c>
      <c r="B40" s="1" t="s">
        <v>1449</v>
      </c>
      <c r="C40" s="1" t="s">
        <v>1450</v>
      </c>
      <c r="D40" s="1" t="s">
        <v>1451</v>
      </c>
      <c r="E40" s="1" t="s">
        <v>1452</v>
      </c>
      <c r="F40" s="1" t="s">
        <v>1453</v>
      </c>
      <c r="H40" s="1">
        <v>109</v>
      </c>
      <c r="I40" s="1">
        <v>2012</v>
      </c>
      <c r="J40" s="1">
        <v>36</v>
      </c>
      <c r="K40" s="1">
        <v>3</v>
      </c>
      <c r="O40" s="1" t="s">
        <v>1454</v>
      </c>
    </row>
    <row r="41" spans="1:16" ht="15.75" customHeight="1">
      <c r="A41" s="1" t="s">
        <v>0</v>
      </c>
      <c r="B41" s="1" t="s">
        <v>4963</v>
      </c>
      <c r="C41" s="1" t="s">
        <v>4964</v>
      </c>
      <c r="D41" s="1" t="s">
        <v>58</v>
      </c>
      <c r="E41" s="1" t="s">
        <v>4965</v>
      </c>
      <c r="F41" s="1" t="s">
        <v>4966</v>
      </c>
      <c r="G41" s="1">
        <v>52</v>
      </c>
      <c r="H41" s="1">
        <v>63</v>
      </c>
      <c r="I41" s="1">
        <v>2012</v>
      </c>
      <c r="J41" s="1">
        <v>12</v>
      </c>
      <c r="K41" s="1" t="s">
        <v>378</v>
      </c>
    </row>
    <row r="42" spans="1:16" ht="15.75" customHeight="1">
      <c r="A42" s="1" t="s">
        <v>10</v>
      </c>
      <c r="B42" s="1" t="s">
        <v>1072</v>
      </c>
      <c r="C42" s="1" t="s">
        <v>1073</v>
      </c>
      <c r="D42" s="1" t="s">
        <v>1074</v>
      </c>
      <c r="E42" s="1" t="s">
        <v>1075</v>
      </c>
      <c r="F42" s="1" t="s">
        <v>1076</v>
      </c>
      <c r="H42" s="1">
        <v>61</v>
      </c>
      <c r="I42" s="1">
        <v>2012</v>
      </c>
      <c r="J42" s="1">
        <v>32</v>
      </c>
      <c r="K42" s="1">
        <v>2</v>
      </c>
      <c r="O42" s="1" t="s">
        <v>1077</v>
      </c>
    </row>
    <row r="43" spans="1:16" ht="15.75" customHeight="1">
      <c r="A43" s="1" t="s">
        <v>0</v>
      </c>
      <c r="B43" s="1" t="s">
        <v>5988</v>
      </c>
      <c r="C43" s="1" t="s">
        <v>5989</v>
      </c>
      <c r="D43" s="1" t="s">
        <v>1103</v>
      </c>
      <c r="E43" s="1" t="s">
        <v>5990</v>
      </c>
      <c r="F43" s="1" t="s">
        <v>5991</v>
      </c>
      <c r="G43" s="1">
        <v>67</v>
      </c>
      <c r="H43" s="1">
        <v>47</v>
      </c>
      <c r="I43" s="1">
        <v>2012</v>
      </c>
      <c r="J43" s="1">
        <v>39</v>
      </c>
      <c r="K43" s="1">
        <v>4</v>
      </c>
      <c r="L43" s="1">
        <v>181</v>
      </c>
      <c r="M43" s="1">
        <v>200</v>
      </c>
      <c r="N43" s="1" t="s">
        <v>6</v>
      </c>
      <c r="O43" s="1" t="s">
        <v>5992</v>
      </c>
      <c r="P43" s="3" t="str">
        <f>HYPERLINK("http://dx.doi.org/10.1177/0094582X12441519","http://dx.doi.org/10.1177/0094582X12441519")</f>
        <v>http://dx.doi.org/10.1177/0094582X12441519</v>
      </c>
    </row>
    <row r="44" spans="1:16" ht="15.75" customHeight="1">
      <c r="A44" s="1" t="s">
        <v>10</v>
      </c>
      <c r="B44" s="1" t="s">
        <v>471</v>
      </c>
      <c r="C44" s="1" t="s">
        <v>472</v>
      </c>
      <c r="D44" s="1" t="s">
        <v>473</v>
      </c>
      <c r="E44" s="1" t="s">
        <v>474</v>
      </c>
      <c r="F44" s="1" t="s">
        <v>475</v>
      </c>
      <c r="H44" s="1">
        <v>39</v>
      </c>
      <c r="I44" s="1">
        <v>2012</v>
      </c>
      <c r="J44" s="1">
        <v>38</v>
      </c>
      <c r="K44" s="1">
        <v>114</v>
      </c>
      <c r="O44" s="1" t="s">
        <v>476</v>
      </c>
    </row>
    <row r="45" spans="1:16" ht="15.75" customHeight="1">
      <c r="A45" s="1" t="s">
        <v>10</v>
      </c>
      <c r="B45" s="1" t="s">
        <v>4355</v>
      </c>
      <c r="C45" s="1" t="s">
        <v>4356</v>
      </c>
      <c r="D45" s="1" t="s">
        <v>4357</v>
      </c>
      <c r="E45" s="1" t="s">
        <v>4358</v>
      </c>
      <c r="F45" s="1" t="s">
        <v>4359</v>
      </c>
      <c r="H45" s="1">
        <v>38</v>
      </c>
      <c r="I45" s="1">
        <v>2012</v>
      </c>
      <c r="J45" s="1">
        <v>48</v>
      </c>
      <c r="O45" s="1" t="s">
        <v>4360</v>
      </c>
    </row>
    <row r="46" spans="1:16" ht="15.75" customHeight="1">
      <c r="A46" s="1" t="s">
        <v>10</v>
      </c>
      <c r="B46" s="1" t="s">
        <v>513</v>
      </c>
      <c r="C46" s="1" t="s">
        <v>514</v>
      </c>
      <c r="D46" s="1" t="s">
        <v>515</v>
      </c>
      <c r="E46" s="1" t="s">
        <v>516</v>
      </c>
      <c r="F46" s="1" t="s">
        <v>517</v>
      </c>
      <c r="H46" s="1">
        <v>34</v>
      </c>
      <c r="I46" s="1">
        <v>2012</v>
      </c>
      <c r="J46" s="1">
        <v>27</v>
      </c>
      <c r="K46" s="1">
        <v>1</v>
      </c>
      <c r="O46" s="1" t="s">
        <v>518</v>
      </c>
    </row>
    <row r="47" spans="1:16" ht="15.75" customHeight="1">
      <c r="A47" s="1" t="s">
        <v>0</v>
      </c>
      <c r="B47" s="1" t="s">
        <v>3761</v>
      </c>
      <c r="C47" s="1" t="s">
        <v>3762</v>
      </c>
      <c r="D47" s="1" t="s">
        <v>3763</v>
      </c>
      <c r="E47" s="1" t="s">
        <v>3764</v>
      </c>
      <c r="F47" s="1" t="s">
        <v>3765</v>
      </c>
      <c r="G47" s="1">
        <v>100</v>
      </c>
      <c r="H47" s="1">
        <v>33</v>
      </c>
      <c r="I47" s="1">
        <v>2012</v>
      </c>
      <c r="K47" s="1" t="s">
        <v>3618</v>
      </c>
      <c r="O47" s="1" t="s">
        <v>3766</v>
      </c>
    </row>
    <row r="48" spans="1:16" ht="15.75" customHeight="1">
      <c r="A48" s="1" t="s">
        <v>10</v>
      </c>
      <c r="B48" s="1" t="s">
        <v>1769</v>
      </c>
      <c r="C48" s="1" t="s">
        <v>1770</v>
      </c>
      <c r="D48" s="1" t="s">
        <v>142</v>
      </c>
      <c r="E48" s="1" t="s">
        <v>1771</v>
      </c>
      <c r="F48" s="1" t="s">
        <v>1772</v>
      </c>
      <c r="H48" s="1">
        <v>28</v>
      </c>
      <c r="I48" s="1">
        <v>2012</v>
      </c>
      <c r="J48" s="1">
        <v>47</v>
      </c>
      <c r="K48" s="1">
        <v>6</v>
      </c>
      <c r="O48" s="1" t="s">
        <v>1773</v>
      </c>
    </row>
    <row r="49" spans="1:16" ht="15.75" customHeight="1">
      <c r="A49" s="1" t="s">
        <v>10</v>
      </c>
      <c r="B49" s="1" t="s">
        <v>1515</v>
      </c>
      <c r="C49" s="1" t="s">
        <v>1516</v>
      </c>
      <c r="D49" s="1" t="s">
        <v>1517</v>
      </c>
      <c r="F49" s="1" t="s">
        <v>1518</v>
      </c>
      <c r="H49" s="1">
        <v>25</v>
      </c>
      <c r="I49" s="1">
        <v>2012</v>
      </c>
      <c r="J49" s="1">
        <v>50</v>
      </c>
      <c r="K49" s="1">
        <v>4</v>
      </c>
      <c r="O49" s="1" t="s">
        <v>1519</v>
      </c>
    </row>
    <row r="50" spans="1:16" ht="15.75" customHeight="1">
      <c r="A50" s="1" t="s">
        <v>10</v>
      </c>
      <c r="B50" s="1" t="s">
        <v>169</v>
      </c>
      <c r="C50" s="1" t="s">
        <v>170</v>
      </c>
      <c r="D50" s="1" t="s">
        <v>171</v>
      </c>
      <c r="E50" s="1" t="s">
        <v>172</v>
      </c>
      <c r="F50" s="1" t="s">
        <v>173</v>
      </c>
      <c r="H50" s="1">
        <v>24</v>
      </c>
      <c r="I50" s="1">
        <v>2012</v>
      </c>
      <c r="J50" s="1">
        <v>3</v>
      </c>
      <c r="K50" s="1">
        <v>2</v>
      </c>
      <c r="O50" s="1" t="s">
        <v>174</v>
      </c>
    </row>
    <row r="51" spans="1:16" ht="15.75" customHeight="1">
      <c r="A51" s="1" t="s">
        <v>10</v>
      </c>
      <c r="B51" s="1" t="s">
        <v>6573</v>
      </c>
      <c r="C51" s="1" t="s">
        <v>6574</v>
      </c>
      <c r="D51" s="1" t="s">
        <v>3639</v>
      </c>
      <c r="E51" s="1" t="s">
        <v>6575</v>
      </c>
      <c r="F51" s="1" t="s">
        <v>6576</v>
      </c>
      <c r="H51" s="1">
        <v>18</v>
      </c>
      <c r="I51" s="1">
        <v>2012</v>
      </c>
      <c r="J51" s="1">
        <v>18</v>
      </c>
      <c r="K51" s="1">
        <v>3</v>
      </c>
      <c r="O51" s="1" t="s">
        <v>6577</v>
      </c>
    </row>
    <row r="52" spans="1:16" ht="15.75" customHeight="1">
      <c r="A52" s="1" t="s">
        <v>0</v>
      </c>
      <c r="B52" s="1" t="s">
        <v>193</v>
      </c>
      <c r="C52" s="1" t="s">
        <v>194</v>
      </c>
      <c r="D52" s="1" t="s">
        <v>195</v>
      </c>
      <c r="E52" s="1" t="s">
        <v>196</v>
      </c>
      <c r="F52" s="1" t="s">
        <v>197</v>
      </c>
      <c r="G52" s="1">
        <v>44</v>
      </c>
      <c r="H52" s="1">
        <v>18</v>
      </c>
      <c r="I52" s="1">
        <v>2012</v>
      </c>
      <c r="J52" s="1">
        <v>44</v>
      </c>
      <c r="K52" s="1">
        <v>1</v>
      </c>
      <c r="L52" s="1">
        <v>163</v>
      </c>
      <c r="M52" s="1">
        <v>175</v>
      </c>
      <c r="N52" s="1" t="s">
        <v>6</v>
      </c>
      <c r="O52" s="1" t="s">
        <v>198</v>
      </c>
      <c r="P52" s="3" t="str">
        <f>HYPERLINK("http://dx.doi.org/10.4067/S0717-73562012000100012","http://dx.doi.org/10.4067/S0717-73562012000100012")</f>
        <v>http://dx.doi.org/10.4067/S0717-73562012000100012</v>
      </c>
    </row>
    <row r="53" spans="1:16" ht="15.75" customHeight="1">
      <c r="A53" s="1" t="s">
        <v>0</v>
      </c>
      <c r="B53" s="1" t="s">
        <v>1912</v>
      </c>
      <c r="C53" s="1" t="s">
        <v>1913</v>
      </c>
      <c r="D53" s="1" t="s">
        <v>1371</v>
      </c>
      <c r="E53" s="1" t="s">
        <v>1914</v>
      </c>
      <c r="F53" s="1" t="s">
        <v>1915</v>
      </c>
      <c r="G53" s="1">
        <v>19</v>
      </c>
      <c r="H53" s="1">
        <v>15</v>
      </c>
      <c r="I53" s="1">
        <v>2012</v>
      </c>
      <c r="J53" s="1">
        <v>38</v>
      </c>
      <c r="K53" s="1" t="s">
        <v>61</v>
      </c>
    </row>
    <row r="54" spans="1:16" ht="15.75" customHeight="1">
      <c r="A54" s="1" t="s">
        <v>0</v>
      </c>
      <c r="B54" s="1" t="s">
        <v>3944</v>
      </c>
      <c r="C54" s="1" t="s">
        <v>3945</v>
      </c>
      <c r="D54" s="1" t="s">
        <v>2022</v>
      </c>
      <c r="E54" s="1" t="s">
        <v>3946</v>
      </c>
      <c r="F54" s="1" t="s">
        <v>3947</v>
      </c>
      <c r="G54" s="1">
        <v>68</v>
      </c>
      <c r="H54" s="1">
        <v>15</v>
      </c>
      <c r="I54" s="1">
        <v>2012</v>
      </c>
      <c r="J54" s="1" t="s">
        <v>6</v>
      </c>
      <c r="K54" s="1">
        <v>53</v>
      </c>
      <c r="L54" s="1">
        <v>137</v>
      </c>
      <c r="M54" s="1">
        <v>158</v>
      </c>
      <c r="N54" s="1" t="s">
        <v>6</v>
      </c>
      <c r="O54" s="1" t="s">
        <v>3948</v>
      </c>
      <c r="P54" s="3" t="str">
        <f>HYPERLINK("http://dx.doi.org/10.4067/S0718-34022012000300009","http://dx.doi.org/10.4067/S0718-34022012000300009")</f>
        <v>http://dx.doi.org/10.4067/S0718-34022012000300009</v>
      </c>
    </row>
    <row r="55" spans="1:16" ht="15.75" customHeight="1">
      <c r="A55" s="1" t="s">
        <v>0</v>
      </c>
      <c r="B55" s="1" t="s">
        <v>7081</v>
      </c>
      <c r="C55" s="1" t="s">
        <v>7082</v>
      </c>
      <c r="D55" s="1" t="s">
        <v>7083</v>
      </c>
      <c r="E55" s="1" t="s">
        <v>3946</v>
      </c>
      <c r="F55" s="1" t="s">
        <v>3947</v>
      </c>
      <c r="G55" s="1">
        <v>67</v>
      </c>
      <c r="H55" s="1">
        <v>15</v>
      </c>
      <c r="I55" s="1">
        <v>2012</v>
      </c>
      <c r="K55" s="1" t="s">
        <v>7084</v>
      </c>
    </row>
    <row r="56" spans="1:16" ht="15.75" customHeight="1">
      <c r="A56" s="1" t="s">
        <v>0</v>
      </c>
      <c r="B56" s="1" t="s">
        <v>385</v>
      </c>
      <c r="C56" s="1" t="s">
        <v>386</v>
      </c>
      <c r="D56" s="1" t="s">
        <v>387</v>
      </c>
      <c r="E56" s="1" t="s">
        <v>388</v>
      </c>
      <c r="F56" s="1" t="s">
        <v>389</v>
      </c>
      <c r="G56" s="1">
        <v>14</v>
      </c>
      <c r="H56" s="1">
        <v>13</v>
      </c>
      <c r="I56" s="1">
        <v>2012</v>
      </c>
      <c r="J56" s="1">
        <v>20</v>
      </c>
      <c r="K56" s="1" t="s">
        <v>390</v>
      </c>
    </row>
    <row r="57" spans="1:16" ht="15.75" customHeight="1">
      <c r="A57" s="1" t="s">
        <v>0</v>
      </c>
      <c r="B57" s="1" t="s">
        <v>2851</v>
      </c>
      <c r="C57" s="1" t="s">
        <v>2852</v>
      </c>
      <c r="D57" s="1" t="s">
        <v>58</v>
      </c>
      <c r="E57" s="1" t="s">
        <v>2853</v>
      </c>
      <c r="F57" s="1" t="s">
        <v>2854</v>
      </c>
      <c r="G57" s="1">
        <v>44</v>
      </c>
      <c r="H57" s="1">
        <v>12</v>
      </c>
      <c r="I57" s="1">
        <v>2012</v>
      </c>
      <c r="J57" s="1">
        <v>12</v>
      </c>
      <c r="K57" s="1" t="s">
        <v>378</v>
      </c>
    </row>
    <row r="58" spans="1:16" ht="15.75" customHeight="1">
      <c r="A58" s="1" t="s">
        <v>10</v>
      </c>
      <c r="B58" s="1" t="s">
        <v>4383</v>
      </c>
      <c r="C58" s="1" t="s">
        <v>4384</v>
      </c>
      <c r="D58" s="1" t="s">
        <v>1445</v>
      </c>
      <c r="E58" s="1" t="s">
        <v>4385</v>
      </c>
      <c r="F58" s="1" t="s">
        <v>4386</v>
      </c>
      <c r="H58" s="1">
        <v>11</v>
      </c>
      <c r="I58" s="1">
        <v>2012</v>
      </c>
      <c r="J58" s="1">
        <v>33</v>
      </c>
      <c r="K58" s="1">
        <v>5</v>
      </c>
      <c r="O58" s="1" t="s">
        <v>4387</v>
      </c>
    </row>
    <row r="59" spans="1:16" ht="15.75" customHeight="1">
      <c r="A59" s="1" t="s">
        <v>10</v>
      </c>
      <c r="B59" s="1" t="s">
        <v>4820</v>
      </c>
      <c r="C59" s="1" t="s">
        <v>4821</v>
      </c>
      <c r="D59" s="1" t="s">
        <v>946</v>
      </c>
      <c r="E59" s="1" t="s">
        <v>4822</v>
      </c>
      <c r="F59" s="1" t="s">
        <v>4823</v>
      </c>
      <c r="H59" s="1">
        <v>8</v>
      </c>
      <c r="I59" s="1">
        <v>2012</v>
      </c>
      <c r="J59" s="1">
        <v>17</v>
      </c>
      <c r="K59" s="1">
        <v>3</v>
      </c>
      <c r="O59" s="1" t="s">
        <v>4824</v>
      </c>
    </row>
    <row r="60" spans="1:16" ht="15.75" customHeight="1">
      <c r="A60" s="1" t="s">
        <v>10</v>
      </c>
      <c r="B60" s="1" t="s">
        <v>2966</v>
      </c>
      <c r="C60" s="1" t="s">
        <v>2967</v>
      </c>
      <c r="D60" s="1" t="s">
        <v>1500</v>
      </c>
      <c r="E60" s="1" t="s">
        <v>2968</v>
      </c>
      <c r="F60" s="1" t="s">
        <v>2969</v>
      </c>
      <c r="H60" s="1">
        <v>8</v>
      </c>
      <c r="I60" s="1">
        <v>2012</v>
      </c>
      <c r="K60" s="1">
        <v>51</v>
      </c>
    </row>
    <row r="61" spans="1:16" ht="15.75" customHeight="1">
      <c r="A61" s="1" t="s">
        <v>0</v>
      </c>
      <c r="B61" s="1" t="s">
        <v>4814</v>
      </c>
      <c r="C61" s="1" t="s">
        <v>4815</v>
      </c>
      <c r="D61" s="1" t="s">
        <v>4816</v>
      </c>
      <c r="E61" s="1" t="s">
        <v>4817</v>
      </c>
      <c r="F61" s="1" t="s">
        <v>4818</v>
      </c>
      <c r="G61" s="1">
        <v>54</v>
      </c>
      <c r="H61" s="1">
        <v>7</v>
      </c>
      <c r="I61" s="1">
        <v>2012</v>
      </c>
      <c r="J61" s="1">
        <v>32</v>
      </c>
      <c r="K61" s="1">
        <v>1</v>
      </c>
      <c r="L61" s="1">
        <v>158</v>
      </c>
      <c r="M61" s="1">
        <v>165</v>
      </c>
      <c r="N61" s="1" t="s">
        <v>6</v>
      </c>
      <c r="O61" s="1" t="s">
        <v>4819</v>
      </c>
      <c r="P61" s="3" t="str">
        <f>HYPERLINK("http://dx.doi.org/10.1016/j.irle.2011.12.001","http://dx.doi.org/10.1016/j.irle.2011.12.001")</f>
        <v>http://dx.doi.org/10.1016/j.irle.2011.12.001</v>
      </c>
    </row>
    <row r="62" spans="1:16" ht="15.75" customHeight="1">
      <c r="A62" s="1" t="s">
        <v>10</v>
      </c>
      <c r="B62" s="1" t="s">
        <v>828</v>
      </c>
      <c r="C62" s="1" t="s">
        <v>829</v>
      </c>
      <c r="D62" s="1" t="s">
        <v>830</v>
      </c>
      <c r="E62" s="1" t="s">
        <v>831</v>
      </c>
      <c r="F62" s="1" t="s">
        <v>832</v>
      </c>
      <c r="H62" s="1">
        <v>5</v>
      </c>
      <c r="I62" s="1">
        <v>2012</v>
      </c>
      <c r="J62" s="1">
        <v>28</v>
      </c>
      <c r="K62" s="1">
        <v>2</v>
      </c>
      <c r="O62" s="1" t="s">
        <v>833</v>
      </c>
    </row>
    <row r="63" spans="1:16" ht="15.75" customHeight="1">
      <c r="A63" s="1" t="s">
        <v>0</v>
      </c>
      <c r="B63" s="1" t="s">
        <v>764</v>
      </c>
      <c r="C63" s="1" t="s">
        <v>765</v>
      </c>
      <c r="D63" s="1" t="s">
        <v>58</v>
      </c>
      <c r="E63" s="1" t="s">
        <v>766</v>
      </c>
      <c r="F63" s="1" t="s">
        <v>767</v>
      </c>
      <c r="G63" s="1">
        <v>18</v>
      </c>
      <c r="H63" s="1">
        <v>5</v>
      </c>
      <c r="I63" s="1">
        <v>2012</v>
      </c>
      <c r="J63" s="1">
        <v>12</v>
      </c>
      <c r="K63" s="1" t="s">
        <v>378</v>
      </c>
    </row>
    <row r="64" spans="1:16" ht="15.75" customHeight="1">
      <c r="A64" s="1" t="s">
        <v>10</v>
      </c>
      <c r="B64" s="1" t="s">
        <v>4178</v>
      </c>
      <c r="C64" s="1" t="s">
        <v>4179</v>
      </c>
      <c r="D64" s="1" t="s">
        <v>4180</v>
      </c>
      <c r="E64" s="1" t="s">
        <v>4181</v>
      </c>
      <c r="F64" s="1" t="s">
        <v>4182</v>
      </c>
      <c r="H64" s="1">
        <v>4</v>
      </c>
      <c r="I64" s="1">
        <v>2012</v>
      </c>
      <c r="J64" s="1">
        <v>39</v>
      </c>
      <c r="K64" s="1">
        <v>4</v>
      </c>
      <c r="O64" s="1" t="s">
        <v>4183</v>
      </c>
    </row>
    <row r="65" spans="1:16" ht="15.75" customHeight="1">
      <c r="A65" s="1" t="s">
        <v>0</v>
      </c>
      <c r="B65" s="1" t="s">
        <v>6350</v>
      </c>
      <c r="C65" s="1" t="s">
        <v>6358</v>
      </c>
      <c r="D65" s="1" t="s">
        <v>2022</v>
      </c>
      <c r="E65" s="1" t="s">
        <v>6359</v>
      </c>
      <c r="F65" s="1" t="s">
        <v>6360</v>
      </c>
      <c r="G65" s="1">
        <v>74</v>
      </c>
      <c r="H65" s="1">
        <v>3</v>
      </c>
      <c r="I65" s="1">
        <v>2012</v>
      </c>
      <c r="J65" s="1" t="s">
        <v>6</v>
      </c>
      <c r="K65" s="1">
        <v>53</v>
      </c>
      <c r="L65" s="1">
        <v>177</v>
      </c>
      <c r="M65" s="1">
        <v>198</v>
      </c>
      <c r="N65" s="1" t="s">
        <v>6</v>
      </c>
      <c r="O65" s="1" t="s">
        <v>6</v>
      </c>
      <c r="P65" s="1" t="s">
        <v>6</v>
      </c>
    </row>
    <row r="66" spans="1:16" ht="15.75" customHeight="1">
      <c r="A66" s="1" t="s">
        <v>463</v>
      </c>
      <c r="B66" s="1" t="s">
        <v>6523</v>
      </c>
      <c r="C66" s="1" t="s">
        <v>6524</v>
      </c>
      <c r="D66" s="1" t="s">
        <v>6525</v>
      </c>
      <c r="E66" s="1" t="s">
        <v>6526</v>
      </c>
      <c r="F66" s="1" t="s">
        <v>6527</v>
      </c>
      <c r="H66" s="1">
        <v>1</v>
      </c>
      <c r="I66" s="1">
        <v>2012</v>
      </c>
    </row>
    <row r="67" spans="1:16" ht="15.75" customHeight="1">
      <c r="A67" s="1" t="s">
        <v>10</v>
      </c>
      <c r="B67" s="1" t="s">
        <v>6344</v>
      </c>
      <c r="C67" s="1" t="s">
        <v>6345</v>
      </c>
      <c r="D67" s="1" t="s">
        <v>6346</v>
      </c>
      <c r="E67" s="1" t="s">
        <v>6347</v>
      </c>
      <c r="F67" s="1" t="s">
        <v>6348</v>
      </c>
      <c r="H67" s="1">
        <v>1</v>
      </c>
      <c r="I67" s="1">
        <v>2012</v>
      </c>
      <c r="K67" s="1">
        <v>26</v>
      </c>
      <c r="O67" s="1" t="s">
        <v>6349</v>
      </c>
    </row>
    <row r="68" spans="1:16" ht="15.75" customHeight="1">
      <c r="A68" s="1" t="s">
        <v>0</v>
      </c>
      <c r="B68" s="1" t="s">
        <v>1386</v>
      </c>
      <c r="C68" s="1" t="s">
        <v>1387</v>
      </c>
      <c r="D68" s="1" t="s">
        <v>974</v>
      </c>
      <c r="E68" s="1" t="s">
        <v>1388</v>
      </c>
      <c r="F68" s="1" t="s">
        <v>1389</v>
      </c>
      <c r="G68" s="1">
        <v>29</v>
      </c>
      <c r="H68" s="1">
        <v>1</v>
      </c>
      <c r="I68" s="1">
        <v>2012</v>
      </c>
      <c r="J68" s="1">
        <v>9</v>
      </c>
      <c r="K68" s="1">
        <v>17</v>
      </c>
      <c r="L68" s="1">
        <v>51</v>
      </c>
      <c r="M68" s="1">
        <v>70</v>
      </c>
      <c r="N68" s="1" t="s">
        <v>6</v>
      </c>
      <c r="O68" s="1" t="s">
        <v>6</v>
      </c>
      <c r="P68" s="1" t="s">
        <v>6</v>
      </c>
    </row>
    <row r="69" spans="1:16" ht="15.75" customHeight="1">
      <c r="A69" s="1" t="s">
        <v>0</v>
      </c>
      <c r="B69" s="1" t="s">
        <v>3568</v>
      </c>
      <c r="C69" s="1" t="s">
        <v>3572</v>
      </c>
      <c r="D69" s="1" t="s">
        <v>58</v>
      </c>
      <c r="E69" s="1" t="s">
        <v>3573</v>
      </c>
      <c r="F69" s="1" t="s">
        <v>3574</v>
      </c>
      <c r="G69" s="1">
        <v>48</v>
      </c>
      <c r="H69" s="1">
        <v>0</v>
      </c>
      <c r="I69" s="1">
        <v>2012</v>
      </c>
      <c r="J69" s="1">
        <v>12</v>
      </c>
      <c r="K69" s="1" t="s">
        <v>378</v>
      </c>
    </row>
    <row r="70" spans="1:16" ht="15.75" customHeight="1">
      <c r="A70" s="1" t="s">
        <v>10</v>
      </c>
      <c r="B70" s="1" t="s">
        <v>3685</v>
      </c>
      <c r="C70" s="1" t="s">
        <v>3686</v>
      </c>
      <c r="D70" s="1" t="s">
        <v>650</v>
      </c>
      <c r="E70" s="1" t="s">
        <v>3687</v>
      </c>
      <c r="F70" s="1" t="s">
        <v>3688</v>
      </c>
      <c r="H70" s="1">
        <v>0</v>
      </c>
      <c r="I70" s="1">
        <v>2012</v>
      </c>
      <c r="J70" s="1">
        <v>22</v>
      </c>
    </row>
    <row r="71" spans="1:16" ht="15.75" customHeight="1">
      <c r="A71" s="1" t="s">
        <v>0</v>
      </c>
      <c r="B71" s="1" t="s">
        <v>5587</v>
      </c>
      <c r="C71" s="1" t="s">
        <v>5588</v>
      </c>
      <c r="D71" s="1" t="s">
        <v>2022</v>
      </c>
      <c r="E71" s="1" t="s">
        <v>5589</v>
      </c>
      <c r="F71" s="1" t="s">
        <v>5590</v>
      </c>
      <c r="G71" s="1">
        <v>24</v>
      </c>
      <c r="H71" s="1">
        <v>0</v>
      </c>
      <c r="I71" s="1">
        <v>2012</v>
      </c>
      <c r="J71" s="1" t="s">
        <v>6</v>
      </c>
      <c r="K71" s="1">
        <v>51</v>
      </c>
      <c r="L71" s="1">
        <v>95</v>
      </c>
      <c r="M71" s="1">
        <v>113</v>
      </c>
      <c r="N71" s="1" t="s">
        <v>6</v>
      </c>
      <c r="O71" s="1" t="s">
        <v>6</v>
      </c>
      <c r="P71" s="1" t="s">
        <v>6</v>
      </c>
    </row>
    <row r="72" spans="1:16" ht="15.75" customHeight="1">
      <c r="A72" s="1" t="s">
        <v>10</v>
      </c>
      <c r="B72" s="1" t="s">
        <v>5761</v>
      </c>
      <c r="C72" s="1" t="s">
        <v>5762</v>
      </c>
      <c r="D72" s="1" t="s">
        <v>5763</v>
      </c>
      <c r="E72" s="1" t="s">
        <v>5764</v>
      </c>
      <c r="F72" s="1" t="s">
        <v>5765</v>
      </c>
      <c r="H72" s="1">
        <v>82</v>
      </c>
      <c r="I72" s="1">
        <v>2013</v>
      </c>
      <c r="J72" s="1">
        <v>78</v>
      </c>
      <c r="K72" s="1">
        <v>4</v>
      </c>
      <c r="O72" s="1" t="s">
        <v>5766</v>
      </c>
    </row>
    <row r="73" spans="1:16" ht="15.75" customHeight="1">
      <c r="A73" s="1" t="s">
        <v>10</v>
      </c>
      <c r="B73" s="1" t="s">
        <v>6955</v>
      </c>
      <c r="C73" s="1" t="s">
        <v>6956</v>
      </c>
      <c r="D73" s="1" t="s">
        <v>6957</v>
      </c>
      <c r="E73" s="1" t="s">
        <v>6958</v>
      </c>
      <c r="F73" s="1" t="s">
        <v>6959</v>
      </c>
      <c r="H73" s="1">
        <v>71</v>
      </c>
      <c r="I73" s="1">
        <v>2013</v>
      </c>
      <c r="J73" s="1">
        <v>14</v>
      </c>
      <c r="K73" s="1">
        <v>3</v>
      </c>
      <c r="O73" s="1" t="s">
        <v>6960</v>
      </c>
    </row>
    <row r="74" spans="1:16" ht="15.75" customHeight="1">
      <c r="A74" s="1" t="s">
        <v>0</v>
      </c>
      <c r="B74" s="1" t="s">
        <v>6316</v>
      </c>
      <c r="C74" s="1" t="s">
        <v>6317</v>
      </c>
      <c r="D74" s="1" t="s">
        <v>6318</v>
      </c>
      <c r="E74" s="1" t="s">
        <v>6319</v>
      </c>
      <c r="F74" s="1" t="s">
        <v>6320</v>
      </c>
      <c r="G74" s="1">
        <v>78</v>
      </c>
      <c r="H74" s="1">
        <v>66</v>
      </c>
      <c r="I74" s="1">
        <v>2013</v>
      </c>
      <c r="J74" s="1">
        <v>34</v>
      </c>
      <c r="K74" s="1">
        <v>7</v>
      </c>
      <c r="L74" s="1">
        <v>972</v>
      </c>
      <c r="M74" s="1">
        <v>988</v>
      </c>
      <c r="N74" s="1" t="s">
        <v>6</v>
      </c>
      <c r="O74" s="1" t="s">
        <v>6321</v>
      </c>
      <c r="P74" s="3" t="str">
        <f>HYPERLINK("http://dx.doi.org/10.1080/02723638.2013.799369","http://dx.doi.org/10.1080/02723638.2013.799369")</f>
        <v>http://dx.doi.org/10.1080/02723638.2013.799369</v>
      </c>
    </row>
    <row r="75" spans="1:16" ht="15.75" customHeight="1">
      <c r="A75" s="1" t="s">
        <v>0</v>
      </c>
      <c r="B75" s="1" t="s">
        <v>3797</v>
      </c>
      <c r="C75" s="1" t="s">
        <v>3798</v>
      </c>
      <c r="D75" s="1" t="s">
        <v>1009</v>
      </c>
      <c r="E75" s="1" t="s">
        <v>3799</v>
      </c>
      <c r="F75" s="1" t="s">
        <v>3800</v>
      </c>
      <c r="G75" s="1">
        <v>88</v>
      </c>
      <c r="H75" s="1">
        <v>44</v>
      </c>
      <c r="I75" s="1">
        <v>2013</v>
      </c>
      <c r="J75" s="1">
        <v>19</v>
      </c>
      <c r="K75" s="1">
        <v>78</v>
      </c>
      <c r="L75" s="1">
        <v>65</v>
      </c>
      <c r="M75" s="1">
        <v>110</v>
      </c>
      <c r="N75" s="1" t="s">
        <v>6</v>
      </c>
      <c r="O75" s="1" t="s">
        <v>6</v>
      </c>
      <c r="P75" s="1" t="s">
        <v>6</v>
      </c>
    </row>
    <row r="76" spans="1:16" ht="15.75" customHeight="1">
      <c r="A76" s="1" t="s">
        <v>0</v>
      </c>
      <c r="B76" s="1" t="s">
        <v>6369</v>
      </c>
      <c r="C76" s="1" t="s">
        <v>6370</v>
      </c>
      <c r="D76" s="1" t="s">
        <v>52</v>
      </c>
      <c r="E76" s="1" t="s">
        <v>6371</v>
      </c>
      <c r="F76" s="1" t="s">
        <v>6372</v>
      </c>
      <c r="G76" s="1">
        <v>63</v>
      </c>
      <c r="H76" s="1">
        <v>43</v>
      </c>
      <c r="I76" s="1">
        <v>2013</v>
      </c>
      <c r="J76" s="1">
        <v>12</v>
      </c>
      <c r="K76" s="1" t="s">
        <v>55</v>
      </c>
      <c r="O76" s="1" t="s">
        <v>6373</v>
      </c>
    </row>
    <row r="77" spans="1:16" ht="15.75" customHeight="1">
      <c r="A77" s="1" t="s">
        <v>0</v>
      </c>
      <c r="B77" s="1" t="s">
        <v>6184</v>
      </c>
      <c r="C77" s="1" t="s">
        <v>6185</v>
      </c>
      <c r="D77" s="1" t="s">
        <v>1103</v>
      </c>
      <c r="E77" s="1" t="s">
        <v>6186</v>
      </c>
      <c r="F77" s="2" t="s">
        <v>6187</v>
      </c>
      <c r="G77" s="1">
        <v>65</v>
      </c>
      <c r="H77" s="1">
        <v>41</v>
      </c>
      <c r="I77" s="1">
        <v>2013</v>
      </c>
      <c r="J77" s="1">
        <v>40</v>
      </c>
      <c r="K77" s="1">
        <v>2</v>
      </c>
      <c r="L77" s="1">
        <v>237</v>
      </c>
      <c r="M77" s="1">
        <v>249</v>
      </c>
      <c r="N77" s="1" t="s">
        <v>6</v>
      </c>
      <c r="O77" s="1" t="s">
        <v>6188</v>
      </c>
      <c r="P77" s="3" t="str">
        <f>HYPERLINK("http://dx.doi.org/10.1177/0094582X12468866","http://dx.doi.org/10.1177/0094582X12468866")</f>
        <v>http://dx.doi.org/10.1177/0094582X12468866</v>
      </c>
    </row>
    <row r="78" spans="1:16" ht="15.75" customHeight="1">
      <c r="A78" s="1" t="s">
        <v>0</v>
      </c>
      <c r="B78" s="1" t="s">
        <v>1965</v>
      </c>
      <c r="C78" s="1" t="s">
        <v>1966</v>
      </c>
      <c r="D78" s="1" t="s">
        <v>1967</v>
      </c>
      <c r="E78" s="1" t="s">
        <v>1968</v>
      </c>
      <c r="F78" s="1" t="s">
        <v>1969</v>
      </c>
      <c r="G78" s="1">
        <v>35</v>
      </c>
      <c r="H78" s="1">
        <v>26</v>
      </c>
      <c r="I78" s="1">
        <v>2013</v>
      </c>
      <c r="J78" s="1">
        <v>21</v>
      </c>
      <c r="K78" s="1">
        <v>42</v>
      </c>
      <c r="L78" s="1">
        <v>163</v>
      </c>
      <c r="M78" s="1">
        <v>191</v>
      </c>
      <c r="N78" s="1" t="s">
        <v>6</v>
      </c>
      <c r="O78" s="1" t="s">
        <v>1970</v>
      </c>
      <c r="P78" s="3" t="str">
        <f>HYPERLINK("http://dx.doi.org/10.18504/pl2142-163-2013","http://dx.doi.org/10.18504/pl2142-163-2013")</f>
        <v>http://dx.doi.org/10.18504/pl2142-163-2013</v>
      </c>
    </row>
    <row r="79" spans="1:16" ht="15.75" customHeight="1">
      <c r="A79" s="1" t="s">
        <v>10</v>
      </c>
      <c r="B79" s="1" t="s">
        <v>4904</v>
      </c>
      <c r="C79" s="1" t="s">
        <v>4905</v>
      </c>
      <c r="D79" s="1" t="s">
        <v>4906</v>
      </c>
      <c r="E79" s="1" t="s">
        <v>4907</v>
      </c>
      <c r="F79" s="1" t="s">
        <v>4908</v>
      </c>
      <c r="H79" s="1">
        <v>25</v>
      </c>
      <c r="I79" s="1">
        <v>2013</v>
      </c>
      <c r="J79" s="1">
        <v>8</v>
      </c>
      <c r="K79" s="1">
        <v>2</v>
      </c>
      <c r="O79" s="1" t="s">
        <v>4909</v>
      </c>
    </row>
    <row r="80" spans="1:16" ht="15.75" customHeight="1">
      <c r="A80" s="1" t="s">
        <v>0</v>
      </c>
      <c r="B80" s="1" t="s">
        <v>4408</v>
      </c>
      <c r="C80" s="1" t="s">
        <v>4409</v>
      </c>
      <c r="D80" s="1" t="s">
        <v>4410</v>
      </c>
      <c r="E80" s="1" t="s">
        <v>4411</v>
      </c>
      <c r="F80" s="1" t="s">
        <v>4412</v>
      </c>
      <c r="G80" s="1">
        <v>37</v>
      </c>
      <c r="H80" s="1">
        <v>25</v>
      </c>
      <c r="I80" s="1">
        <v>2013</v>
      </c>
      <c r="J80" s="1">
        <v>32</v>
      </c>
      <c r="K80" s="1">
        <v>3</v>
      </c>
      <c r="L80" s="1">
        <v>294</v>
      </c>
      <c r="M80" s="1">
        <v>310</v>
      </c>
      <c r="N80" s="1" t="s">
        <v>6</v>
      </c>
      <c r="O80" s="1" t="s">
        <v>4413</v>
      </c>
      <c r="P80" s="3" t="str">
        <f>HYPERLINK("http://dx.doi.org/10.1111/blar.12002","http://dx.doi.org/10.1111/blar.12002")</f>
        <v>http://dx.doi.org/10.1111/blar.12002</v>
      </c>
    </row>
    <row r="81" spans="1:16" ht="15.75" customHeight="1">
      <c r="A81" s="1" t="s">
        <v>10</v>
      </c>
      <c r="B81" s="1" t="s">
        <v>5812</v>
      </c>
      <c r="C81" s="1" t="s">
        <v>5813</v>
      </c>
      <c r="D81" s="1" t="s">
        <v>5814</v>
      </c>
      <c r="E81" s="1" t="s">
        <v>5815</v>
      </c>
      <c r="F81" s="1" t="s">
        <v>5816</v>
      </c>
      <c r="H81" s="1">
        <v>24</v>
      </c>
      <c r="I81" s="1">
        <v>2013</v>
      </c>
      <c r="J81" s="1">
        <v>24</v>
      </c>
      <c r="K81" s="1">
        <v>2</v>
      </c>
      <c r="O81" s="1" t="s">
        <v>5817</v>
      </c>
    </row>
    <row r="82" spans="1:16" ht="15.75" customHeight="1">
      <c r="A82" s="1" t="s">
        <v>0</v>
      </c>
      <c r="B82" s="1" t="s">
        <v>50</v>
      </c>
      <c r="C82" s="2" t="s">
        <v>51</v>
      </c>
      <c r="D82" s="1" t="s">
        <v>52</v>
      </c>
      <c r="E82" s="1" t="s">
        <v>53</v>
      </c>
      <c r="F82" s="1" t="s">
        <v>54</v>
      </c>
      <c r="G82" s="1">
        <v>37</v>
      </c>
      <c r="H82" s="1">
        <v>22</v>
      </c>
      <c r="I82" s="1">
        <v>2013</v>
      </c>
      <c r="J82" s="1">
        <v>12</v>
      </c>
      <c r="K82" s="1" t="s">
        <v>55</v>
      </c>
    </row>
    <row r="83" spans="1:16" ht="15.75" customHeight="1">
      <c r="A83" s="1" t="s">
        <v>0</v>
      </c>
      <c r="B83" s="1" t="s">
        <v>1649</v>
      </c>
      <c r="C83" s="1" t="s">
        <v>1650</v>
      </c>
      <c r="D83" s="1" t="s">
        <v>1651</v>
      </c>
      <c r="E83" s="8" t="s">
        <v>7109</v>
      </c>
      <c r="F83" s="1" t="s">
        <v>1652</v>
      </c>
      <c r="G83" s="1">
        <v>106</v>
      </c>
      <c r="H83" s="1">
        <v>21</v>
      </c>
      <c r="I83" s="1">
        <v>2013</v>
      </c>
      <c r="J83" s="1">
        <v>55</v>
      </c>
      <c r="K83" s="1">
        <v>4</v>
      </c>
      <c r="L83" s="1">
        <v>771</v>
      </c>
      <c r="M83" s="1">
        <v>799</v>
      </c>
      <c r="N83" s="1" t="s">
        <v>6</v>
      </c>
      <c r="O83" s="1" t="s">
        <v>1653</v>
      </c>
      <c r="P83" s="3" t="str">
        <f>HYPERLINK("http://dx.doi.org/10.1017/S0010417513000418","http://dx.doi.org/10.1017/S0010417513000418")</f>
        <v>http://dx.doi.org/10.1017/S0010417513000418</v>
      </c>
    </row>
    <row r="84" spans="1:16" ht="15.75" customHeight="1">
      <c r="A84" s="1" t="s">
        <v>0</v>
      </c>
      <c r="B84" s="1" t="s">
        <v>6488</v>
      </c>
      <c r="C84" s="1" t="s">
        <v>6489</v>
      </c>
      <c r="D84" s="1" t="s">
        <v>52</v>
      </c>
      <c r="E84" s="1" t="s">
        <v>6490</v>
      </c>
      <c r="F84" s="1" t="s">
        <v>6491</v>
      </c>
      <c r="G84" s="1">
        <v>19</v>
      </c>
      <c r="H84" s="1">
        <v>21</v>
      </c>
      <c r="I84" s="1">
        <v>2013</v>
      </c>
      <c r="J84" s="1">
        <v>12</v>
      </c>
      <c r="K84" s="1" t="s">
        <v>55</v>
      </c>
    </row>
    <row r="85" spans="1:16" ht="15.75" customHeight="1">
      <c r="A85" s="1" t="s">
        <v>10</v>
      </c>
      <c r="B85" s="1" t="s">
        <v>6079</v>
      </c>
      <c r="C85" s="1" t="s">
        <v>6080</v>
      </c>
      <c r="D85" s="1" t="s">
        <v>6081</v>
      </c>
      <c r="E85" s="1" t="s">
        <v>6082</v>
      </c>
      <c r="F85" s="1" t="s">
        <v>6083</v>
      </c>
      <c r="H85" s="1">
        <v>19</v>
      </c>
      <c r="I85" s="1">
        <v>2013</v>
      </c>
      <c r="J85" s="1">
        <v>37</v>
      </c>
      <c r="K85" s="1">
        <v>6</v>
      </c>
      <c r="O85" s="1" t="s">
        <v>6084</v>
      </c>
    </row>
    <row r="86" spans="1:16" ht="15.75" customHeight="1">
      <c r="A86" s="1" t="s">
        <v>0</v>
      </c>
      <c r="B86" s="1" t="s">
        <v>3993</v>
      </c>
      <c r="C86" s="1" t="s">
        <v>3994</v>
      </c>
      <c r="D86" s="1" t="s">
        <v>195</v>
      </c>
      <c r="E86" s="1" t="s">
        <v>3995</v>
      </c>
      <c r="F86" s="1" t="s">
        <v>3996</v>
      </c>
      <c r="G86" s="1">
        <v>22</v>
      </c>
      <c r="H86" s="1">
        <v>16</v>
      </c>
      <c r="I86" s="1">
        <v>2013</v>
      </c>
      <c r="J86" s="1">
        <v>45</v>
      </c>
      <c r="K86" s="1">
        <v>2</v>
      </c>
      <c r="L86" s="1">
        <v>321</v>
      </c>
      <c r="M86" s="1">
        <v>332</v>
      </c>
      <c r="N86" s="1" t="s">
        <v>6</v>
      </c>
      <c r="O86" s="1" t="s">
        <v>3997</v>
      </c>
      <c r="P86" s="3" t="str">
        <f>HYPERLINK("http://dx.doi.org/10.4067/S0717-73562013000200008","http://dx.doi.org/10.4067/S0717-73562013000200008")</f>
        <v>http://dx.doi.org/10.4067/S0717-73562013000200008</v>
      </c>
    </row>
    <row r="87" spans="1:16" ht="15.75" customHeight="1">
      <c r="A87" s="1" t="s">
        <v>10</v>
      </c>
      <c r="B87" s="1" t="s">
        <v>3955</v>
      </c>
      <c r="C87" s="1" t="s">
        <v>3956</v>
      </c>
      <c r="D87" s="1" t="s">
        <v>3957</v>
      </c>
      <c r="E87" s="1" t="s">
        <v>3958</v>
      </c>
      <c r="F87" s="1" t="s">
        <v>3959</v>
      </c>
      <c r="H87" s="1">
        <v>15</v>
      </c>
      <c r="I87" s="1">
        <v>2013</v>
      </c>
      <c r="J87" s="1">
        <v>34</v>
      </c>
      <c r="K87" s="1">
        <v>1</v>
      </c>
      <c r="O87" s="1" t="s">
        <v>3960</v>
      </c>
    </row>
    <row r="88" spans="1:16" ht="15.75" customHeight="1">
      <c r="A88" s="1" t="s">
        <v>0</v>
      </c>
      <c r="B88" s="1" t="s">
        <v>801</v>
      </c>
      <c r="C88" s="1" t="s">
        <v>812</v>
      </c>
      <c r="D88" s="1" t="s">
        <v>52</v>
      </c>
      <c r="E88" s="1" t="s">
        <v>813</v>
      </c>
      <c r="F88" s="1" t="s">
        <v>814</v>
      </c>
      <c r="G88" s="1">
        <v>41</v>
      </c>
      <c r="H88" s="1">
        <v>15</v>
      </c>
      <c r="I88" s="1">
        <v>2013</v>
      </c>
      <c r="J88" s="1">
        <v>12</v>
      </c>
      <c r="K88" s="1" t="s">
        <v>55</v>
      </c>
    </row>
    <row r="89" spans="1:16" ht="15.75" customHeight="1">
      <c r="A89" s="1" t="s">
        <v>31</v>
      </c>
      <c r="B89" s="1" t="s">
        <v>2926</v>
      </c>
      <c r="C89" s="1" t="s">
        <v>2927</v>
      </c>
      <c r="D89" s="1" t="s">
        <v>2928</v>
      </c>
      <c r="E89" s="1" t="s">
        <v>2929</v>
      </c>
      <c r="F89" s="1" t="s">
        <v>2930</v>
      </c>
      <c r="H89" s="1">
        <v>14</v>
      </c>
      <c r="I89" s="1">
        <v>2013</v>
      </c>
      <c r="O89" s="1" t="s">
        <v>2931</v>
      </c>
    </row>
    <row r="90" spans="1:16" ht="15.75" customHeight="1">
      <c r="A90" s="1" t="s">
        <v>10</v>
      </c>
      <c r="B90" s="1" t="s">
        <v>4361</v>
      </c>
      <c r="C90" s="1" t="s">
        <v>4362</v>
      </c>
      <c r="D90" s="1" t="s">
        <v>4363</v>
      </c>
      <c r="E90" s="1" t="s">
        <v>4364</v>
      </c>
      <c r="F90" s="1" t="s">
        <v>4365</v>
      </c>
      <c r="H90" s="1">
        <v>14</v>
      </c>
      <c r="I90" s="1">
        <v>2013</v>
      </c>
      <c r="J90" s="1">
        <v>20</v>
      </c>
      <c r="K90" s="1">
        <v>1</v>
      </c>
      <c r="O90" s="1" t="s">
        <v>4366</v>
      </c>
    </row>
    <row r="91" spans="1:16" ht="15.75" customHeight="1">
      <c r="A91" s="1" t="s">
        <v>10</v>
      </c>
      <c r="B91" s="1" t="s">
        <v>683</v>
      </c>
      <c r="C91" s="1" t="s">
        <v>684</v>
      </c>
      <c r="D91" s="1" t="s">
        <v>685</v>
      </c>
      <c r="F91" s="1" t="s">
        <v>686</v>
      </c>
      <c r="H91" s="1">
        <v>10</v>
      </c>
      <c r="I91" s="1">
        <v>2013</v>
      </c>
      <c r="J91" s="1">
        <v>155</v>
      </c>
      <c r="O91" s="1" t="s">
        <v>687</v>
      </c>
    </row>
    <row r="92" spans="1:16" ht="15.75" customHeight="1">
      <c r="A92" s="1" t="s">
        <v>10</v>
      </c>
      <c r="B92" s="1" t="s">
        <v>6189</v>
      </c>
      <c r="C92" s="1" t="s">
        <v>6190</v>
      </c>
      <c r="D92" s="1" t="s">
        <v>70</v>
      </c>
      <c r="E92" s="1" t="s">
        <v>6191</v>
      </c>
      <c r="F92" s="1" t="s">
        <v>6192</v>
      </c>
      <c r="H92" s="1">
        <v>9</v>
      </c>
      <c r="I92" s="1">
        <v>2013</v>
      </c>
      <c r="J92" s="1">
        <v>7</v>
      </c>
      <c r="K92" s="1" t="s">
        <v>6193</v>
      </c>
    </row>
    <row r="93" spans="1:16" ht="15.75" customHeight="1">
      <c r="A93" s="1" t="s">
        <v>10</v>
      </c>
      <c r="B93" s="1" t="s">
        <v>74</v>
      </c>
      <c r="C93" s="1" t="s">
        <v>75</v>
      </c>
      <c r="D93" s="1" t="s">
        <v>76</v>
      </c>
      <c r="E93" s="1" t="s">
        <v>77</v>
      </c>
      <c r="F93" s="1" t="s">
        <v>78</v>
      </c>
      <c r="H93" s="1">
        <v>8</v>
      </c>
      <c r="I93" s="1">
        <v>2013</v>
      </c>
      <c r="J93" s="1">
        <v>26</v>
      </c>
      <c r="K93" s="1">
        <v>3</v>
      </c>
      <c r="O93" s="1" t="s">
        <v>79</v>
      </c>
    </row>
    <row r="94" spans="1:16" ht="15.75" customHeight="1">
      <c r="A94" s="1" t="s">
        <v>0</v>
      </c>
      <c r="B94" s="1" t="s">
        <v>4675</v>
      </c>
      <c r="C94" s="1" t="s">
        <v>4676</v>
      </c>
      <c r="D94" s="1" t="s">
        <v>4677</v>
      </c>
      <c r="E94" s="1" t="s">
        <v>4678</v>
      </c>
      <c r="F94" s="1" t="s">
        <v>4679</v>
      </c>
      <c r="G94" s="1">
        <v>16</v>
      </c>
      <c r="H94" s="1">
        <v>7</v>
      </c>
      <c r="I94" s="1">
        <v>2013</v>
      </c>
      <c r="J94" s="1">
        <v>0</v>
      </c>
      <c r="K94" s="1" t="s">
        <v>4680</v>
      </c>
      <c r="O94" s="1" t="s">
        <v>4681</v>
      </c>
    </row>
    <row r="95" spans="1:16" ht="15.75" customHeight="1">
      <c r="A95" s="1" t="s">
        <v>0</v>
      </c>
      <c r="B95" s="1" t="s">
        <v>56</v>
      </c>
      <c r="C95" s="1" t="s">
        <v>57</v>
      </c>
      <c r="D95" s="1" t="s">
        <v>58</v>
      </c>
      <c r="E95" s="1" t="s">
        <v>59</v>
      </c>
      <c r="F95" s="1" t="s">
        <v>60</v>
      </c>
      <c r="G95" s="1">
        <v>18</v>
      </c>
      <c r="H95" s="1">
        <v>7</v>
      </c>
      <c r="I95" s="1">
        <v>2013</v>
      </c>
      <c r="J95" s="1">
        <v>13</v>
      </c>
      <c r="K95" s="1" t="s">
        <v>61</v>
      </c>
    </row>
    <row r="96" spans="1:16" ht="15.75" customHeight="1">
      <c r="A96" s="1" t="s">
        <v>0</v>
      </c>
      <c r="B96" s="1" t="s">
        <v>6220</v>
      </c>
      <c r="C96" s="1" t="s">
        <v>6225</v>
      </c>
      <c r="D96" s="1" t="s">
        <v>52</v>
      </c>
      <c r="E96" s="1" t="s">
        <v>6226</v>
      </c>
      <c r="F96" s="1" t="s">
        <v>6227</v>
      </c>
      <c r="G96" s="1">
        <v>22</v>
      </c>
      <c r="H96" s="1">
        <v>7</v>
      </c>
      <c r="I96" s="1">
        <v>2013</v>
      </c>
      <c r="J96" s="1">
        <v>12</v>
      </c>
      <c r="K96" s="1" t="s">
        <v>55</v>
      </c>
      <c r="O96" s="1" t="s">
        <v>6228</v>
      </c>
    </row>
    <row r="97" spans="1:16" ht="15.75" customHeight="1">
      <c r="A97" s="1" t="s">
        <v>10</v>
      </c>
      <c r="B97" s="1" t="s">
        <v>5079</v>
      </c>
      <c r="C97" s="1" t="s">
        <v>5080</v>
      </c>
      <c r="D97" s="1" t="s">
        <v>473</v>
      </c>
      <c r="E97" s="1" t="s">
        <v>5081</v>
      </c>
      <c r="F97" s="1" t="s">
        <v>5082</v>
      </c>
      <c r="H97" s="1">
        <v>5</v>
      </c>
      <c r="I97" s="1">
        <v>2013</v>
      </c>
      <c r="J97" s="1">
        <v>39</v>
      </c>
      <c r="K97" s="1">
        <v>116</v>
      </c>
      <c r="O97" s="1" t="s">
        <v>5083</v>
      </c>
    </row>
    <row r="98" spans="1:16" ht="15.75" customHeight="1">
      <c r="A98" s="1" t="s">
        <v>0</v>
      </c>
      <c r="B98" s="1" t="s">
        <v>4709</v>
      </c>
      <c r="C98" s="1" t="s">
        <v>4710</v>
      </c>
      <c r="D98" s="1" t="s">
        <v>4711</v>
      </c>
      <c r="E98" s="1" t="s">
        <v>4712</v>
      </c>
      <c r="F98" s="1" t="s">
        <v>4713</v>
      </c>
      <c r="G98" s="1">
        <v>32</v>
      </c>
      <c r="H98" s="1">
        <v>5</v>
      </c>
      <c r="I98" s="1">
        <v>2013</v>
      </c>
      <c r="J98" s="1">
        <v>5</v>
      </c>
      <c r="K98" s="1" t="s">
        <v>4714</v>
      </c>
    </row>
    <row r="99" spans="1:16" ht="15.75" customHeight="1">
      <c r="A99" s="1" t="s">
        <v>10</v>
      </c>
      <c r="B99" s="1" t="s">
        <v>3123</v>
      </c>
      <c r="C99" s="1" t="s">
        <v>3124</v>
      </c>
      <c r="D99" s="1" t="s">
        <v>650</v>
      </c>
      <c r="E99" s="1" t="s">
        <v>3125</v>
      </c>
      <c r="F99" s="1" t="s">
        <v>3126</v>
      </c>
      <c r="H99" s="1">
        <v>3</v>
      </c>
      <c r="I99" s="1">
        <v>2013</v>
      </c>
      <c r="J99" s="1">
        <v>24</v>
      </c>
      <c r="O99" s="1" t="s">
        <v>3127</v>
      </c>
    </row>
    <row r="100" spans="1:16" ht="15.75" customHeight="1">
      <c r="A100" s="1" t="s">
        <v>10</v>
      </c>
      <c r="B100" s="1" t="s">
        <v>6532</v>
      </c>
      <c r="C100" s="1" t="s">
        <v>6533</v>
      </c>
      <c r="D100" s="1" t="s">
        <v>6534</v>
      </c>
      <c r="E100" s="1" t="s">
        <v>6535</v>
      </c>
      <c r="F100" s="1" t="s">
        <v>6536</v>
      </c>
      <c r="H100" s="1">
        <v>3</v>
      </c>
      <c r="I100" s="1">
        <v>2013</v>
      </c>
      <c r="J100" s="1">
        <v>55</v>
      </c>
      <c r="K100" s="1">
        <v>2</v>
      </c>
    </row>
    <row r="101" spans="1:16" ht="15.75" customHeight="1">
      <c r="A101" s="1" t="s">
        <v>10</v>
      </c>
      <c r="B101" s="1" t="s">
        <v>4650</v>
      </c>
      <c r="C101" s="1" t="s">
        <v>4651</v>
      </c>
      <c r="D101" s="1" t="s">
        <v>674</v>
      </c>
      <c r="E101" s="1" t="s">
        <v>4652</v>
      </c>
      <c r="F101" s="1" t="s">
        <v>4653</v>
      </c>
      <c r="H101" s="1">
        <v>53</v>
      </c>
      <c r="I101" s="1">
        <v>2014</v>
      </c>
      <c r="J101" s="1">
        <v>41</v>
      </c>
      <c r="K101" s="1">
        <v>5</v>
      </c>
      <c r="O101" s="1" t="s">
        <v>4654</v>
      </c>
    </row>
    <row r="102" spans="1:16" ht="15.75" customHeight="1">
      <c r="A102" s="1" t="s">
        <v>10</v>
      </c>
      <c r="B102" s="1" t="s">
        <v>4626</v>
      </c>
      <c r="C102" s="1" t="s">
        <v>4627</v>
      </c>
      <c r="D102" s="1" t="s">
        <v>4628</v>
      </c>
      <c r="E102" s="1" t="s">
        <v>4629</v>
      </c>
      <c r="F102" s="1" t="s">
        <v>4630</v>
      </c>
      <c r="H102" s="1">
        <v>38</v>
      </c>
      <c r="I102" s="1">
        <v>2014</v>
      </c>
      <c r="J102" s="1">
        <v>45</v>
      </c>
      <c r="K102" s="1">
        <v>3</v>
      </c>
      <c r="O102" s="1" t="s">
        <v>4631</v>
      </c>
    </row>
    <row r="103" spans="1:16" ht="15.75" customHeight="1">
      <c r="A103" s="1" t="s">
        <v>0</v>
      </c>
      <c r="B103" s="1" t="s">
        <v>204</v>
      </c>
      <c r="C103" s="1" t="s">
        <v>205</v>
      </c>
      <c r="D103" s="1" t="s">
        <v>206</v>
      </c>
      <c r="E103" s="1" t="s">
        <v>207</v>
      </c>
      <c r="F103" s="1" t="s">
        <v>208</v>
      </c>
      <c r="G103" s="1">
        <v>41</v>
      </c>
      <c r="H103" s="1">
        <v>32</v>
      </c>
      <c r="I103" s="1">
        <v>2014</v>
      </c>
      <c r="J103" s="1" t="s">
        <v>6</v>
      </c>
      <c r="K103" s="1">
        <v>48</v>
      </c>
      <c r="L103" s="1">
        <v>15</v>
      </c>
      <c r="M103" s="1">
        <v>28</v>
      </c>
      <c r="N103" s="1" t="s">
        <v>6</v>
      </c>
      <c r="O103" s="1" t="s">
        <v>209</v>
      </c>
      <c r="P103" s="3" t="str">
        <f>HYPERLINK("http://dx.doi.org/10.7440/res48.2014.02","http://dx.doi.org/10.7440/res48.2014.02")</f>
        <v>http://dx.doi.org/10.7440/res48.2014.02</v>
      </c>
    </row>
    <row r="104" spans="1:16" ht="15.75" customHeight="1">
      <c r="A104" s="1" t="s">
        <v>0</v>
      </c>
      <c r="B104" s="1" t="s">
        <v>6229</v>
      </c>
      <c r="C104" s="1" t="s">
        <v>6230</v>
      </c>
      <c r="D104" s="1" t="s">
        <v>58</v>
      </c>
      <c r="E104" s="1" t="s">
        <v>6231</v>
      </c>
      <c r="F104" s="1" t="s">
        <v>6232</v>
      </c>
      <c r="G104" s="1">
        <v>47</v>
      </c>
      <c r="H104" s="1">
        <v>29</v>
      </c>
      <c r="I104" s="1">
        <v>2014</v>
      </c>
      <c r="J104" s="1">
        <v>14</v>
      </c>
      <c r="K104" s="1" t="s">
        <v>61</v>
      </c>
    </row>
    <row r="105" spans="1:16" ht="15.75" customHeight="1">
      <c r="A105" s="1" t="s">
        <v>10</v>
      </c>
      <c r="B105" s="1" t="s">
        <v>2096</v>
      </c>
      <c r="C105" s="1" t="s">
        <v>2097</v>
      </c>
      <c r="D105" s="1" t="s">
        <v>2098</v>
      </c>
      <c r="E105" s="1" t="s">
        <v>2099</v>
      </c>
      <c r="F105" s="1" t="s">
        <v>2100</v>
      </c>
      <c r="H105" s="1">
        <v>25</v>
      </c>
      <c r="I105" s="1">
        <v>2014</v>
      </c>
      <c r="J105" s="1">
        <v>41</v>
      </c>
      <c r="K105" s="1">
        <v>6</v>
      </c>
      <c r="O105" s="1" t="s">
        <v>2101</v>
      </c>
    </row>
    <row r="106" spans="1:16" ht="15.75" customHeight="1">
      <c r="A106" s="1" t="s">
        <v>10</v>
      </c>
      <c r="B106" s="1" t="s">
        <v>543</v>
      </c>
      <c r="C106" s="1" t="s">
        <v>544</v>
      </c>
      <c r="D106" s="1" t="s">
        <v>545</v>
      </c>
      <c r="F106" s="1" t="s">
        <v>546</v>
      </c>
      <c r="H106" s="1">
        <v>22</v>
      </c>
      <c r="I106" s="1">
        <v>2014</v>
      </c>
      <c r="J106" s="1">
        <v>43</v>
      </c>
      <c r="K106" s="1">
        <v>2</v>
      </c>
      <c r="O106" s="1" t="s">
        <v>547</v>
      </c>
    </row>
    <row r="107" spans="1:16" ht="15.75" customHeight="1">
      <c r="A107" s="1" t="s">
        <v>10</v>
      </c>
      <c r="B107" s="1" t="s">
        <v>5452</v>
      </c>
      <c r="C107" s="1" t="s">
        <v>5453</v>
      </c>
      <c r="D107" s="1" t="s">
        <v>1517</v>
      </c>
      <c r="F107" s="1" t="s">
        <v>5454</v>
      </c>
      <c r="H107" s="1">
        <v>22</v>
      </c>
      <c r="I107" s="1">
        <v>2014</v>
      </c>
      <c r="J107" s="1">
        <v>52</v>
      </c>
      <c r="K107" s="1">
        <v>5</v>
      </c>
      <c r="O107" s="1" t="s">
        <v>5455</v>
      </c>
    </row>
    <row r="108" spans="1:16" ht="15.75" customHeight="1">
      <c r="A108" s="1" t="s">
        <v>0</v>
      </c>
      <c r="B108" s="1" t="s">
        <v>4324</v>
      </c>
      <c r="C108" s="1" t="s">
        <v>4325</v>
      </c>
      <c r="D108" s="1" t="s">
        <v>1933</v>
      </c>
      <c r="E108" s="1" t="s">
        <v>4326</v>
      </c>
      <c r="F108" s="1" t="s">
        <v>4327</v>
      </c>
      <c r="G108" s="1">
        <v>28</v>
      </c>
      <c r="H108" s="1">
        <v>19</v>
      </c>
      <c r="I108" s="1">
        <v>2014</v>
      </c>
      <c r="J108" s="1">
        <v>40</v>
      </c>
      <c r="K108" s="1">
        <v>120</v>
      </c>
      <c r="L108" s="1">
        <v>159</v>
      </c>
      <c r="M108" s="1">
        <v>181</v>
      </c>
      <c r="N108" s="1" t="s">
        <v>6</v>
      </c>
      <c r="O108" s="1" t="s">
        <v>4328</v>
      </c>
      <c r="P108" s="3" t="str">
        <f>HYPERLINK("http://dx.doi.org/10.4067/S0250-71612014000200008","http://dx.doi.org/10.4067/S0250-71612014000200008")</f>
        <v>http://dx.doi.org/10.4067/S0250-71612014000200008</v>
      </c>
    </row>
    <row r="109" spans="1:16" ht="15.75" customHeight="1">
      <c r="A109" s="1" t="s">
        <v>0</v>
      </c>
      <c r="B109" s="1" t="s">
        <v>932</v>
      </c>
      <c r="C109" s="1" t="s">
        <v>933</v>
      </c>
      <c r="D109" s="1" t="s">
        <v>934</v>
      </c>
      <c r="E109" s="1" t="s">
        <v>935</v>
      </c>
      <c r="F109" s="1" t="s">
        <v>936</v>
      </c>
      <c r="G109" s="1">
        <v>28</v>
      </c>
      <c r="H109" s="1">
        <v>18</v>
      </c>
      <c r="I109" s="1">
        <v>2014</v>
      </c>
      <c r="J109" s="1">
        <v>44</v>
      </c>
      <c r="K109" s="1" t="s">
        <v>6</v>
      </c>
      <c r="L109" s="1">
        <v>75</v>
      </c>
      <c r="M109" s="1">
        <v>81</v>
      </c>
      <c r="N109" s="1" t="s">
        <v>6</v>
      </c>
      <c r="O109" s="1" t="s">
        <v>937</v>
      </c>
      <c r="P109" s="3" t="str">
        <f>HYPERLINK("http://dx.doi.org/10.1016/j.regsciurbeco.2013.11.005","http://dx.doi.org/10.1016/j.regsciurbeco.2013.11.005")</f>
        <v>http://dx.doi.org/10.1016/j.regsciurbeco.2013.11.005</v>
      </c>
    </row>
    <row r="110" spans="1:16" ht="15.75" customHeight="1">
      <c r="A110" s="1" t="s">
        <v>0</v>
      </c>
      <c r="B110" s="1" t="s">
        <v>6692</v>
      </c>
      <c r="C110" s="1" t="s">
        <v>6697</v>
      </c>
      <c r="D110" s="1" t="s">
        <v>6698</v>
      </c>
      <c r="E110" s="1" t="s">
        <v>6699</v>
      </c>
      <c r="F110" s="1" t="s">
        <v>6700</v>
      </c>
      <c r="G110" s="1">
        <v>56</v>
      </c>
      <c r="H110" s="1">
        <v>17</v>
      </c>
      <c r="I110" s="1">
        <v>2014</v>
      </c>
      <c r="J110" s="1" t="s">
        <v>6</v>
      </c>
      <c r="K110" s="1">
        <v>53</v>
      </c>
      <c r="L110" s="1">
        <v>13</v>
      </c>
      <c r="M110" s="1">
        <v>34</v>
      </c>
      <c r="N110" s="1" t="s">
        <v>6</v>
      </c>
      <c r="O110" s="1" t="s">
        <v>6</v>
      </c>
      <c r="P110" s="1" t="s">
        <v>6</v>
      </c>
    </row>
    <row r="111" spans="1:16" ht="15.75" customHeight="1">
      <c r="A111" s="1" t="s">
        <v>10</v>
      </c>
      <c r="B111" s="1" t="s">
        <v>5548</v>
      </c>
      <c r="C111" s="1" t="s">
        <v>5549</v>
      </c>
      <c r="D111" s="1" t="s">
        <v>473</v>
      </c>
      <c r="E111" s="1" t="s">
        <v>5550</v>
      </c>
      <c r="F111" s="1" t="s">
        <v>5551</v>
      </c>
      <c r="H111" s="1">
        <v>15</v>
      </c>
      <c r="I111" s="1">
        <v>2014</v>
      </c>
      <c r="J111" s="1">
        <v>40</v>
      </c>
      <c r="K111" s="1">
        <v>120</v>
      </c>
      <c r="O111" s="1" t="s">
        <v>4328</v>
      </c>
    </row>
    <row r="112" spans="1:16" ht="15.75" customHeight="1">
      <c r="A112" s="1" t="s">
        <v>0</v>
      </c>
      <c r="B112" s="1" t="s">
        <v>3461</v>
      </c>
      <c r="C112" s="1" t="s">
        <v>3462</v>
      </c>
      <c r="D112" s="1" t="s">
        <v>3463</v>
      </c>
      <c r="E112" s="1" t="s">
        <v>3464</v>
      </c>
      <c r="F112" s="1" t="s">
        <v>3465</v>
      </c>
      <c r="G112" s="1">
        <v>27</v>
      </c>
      <c r="H112" s="1">
        <v>14</v>
      </c>
      <c r="I112" s="1">
        <v>2014</v>
      </c>
      <c r="K112" s="1" t="s">
        <v>2210</v>
      </c>
    </row>
    <row r="113" spans="1:16" ht="15.75" customHeight="1">
      <c r="A113" s="1" t="s">
        <v>10</v>
      </c>
      <c r="B113" s="1" t="s">
        <v>410</v>
      </c>
      <c r="C113" s="1" t="s">
        <v>411</v>
      </c>
      <c r="D113" s="1" t="s">
        <v>412</v>
      </c>
      <c r="E113" s="1" t="s">
        <v>413</v>
      </c>
      <c r="F113" s="1" t="s">
        <v>414</v>
      </c>
      <c r="H113" s="1">
        <v>13</v>
      </c>
      <c r="I113" s="1">
        <v>2014</v>
      </c>
      <c r="J113" s="1">
        <v>47</v>
      </c>
      <c r="K113" s="1">
        <v>12</v>
      </c>
      <c r="O113" s="1" t="s">
        <v>415</v>
      </c>
    </row>
    <row r="114" spans="1:16" ht="15.75" customHeight="1">
      <c r="A114" s="1" t="s">
        <v>10</v>
      </c>
      <c r="B114" s="1" t="s">
        <v>5464</v>
      </c>
      <c r="C114" s="1" t="s">
        <v>5465</v>
      </c>
      <c r="D114" s="1" t="s">
        <v>5466</v>
      </c>
      <c r="E114" s="1" t="s">
        <v>5467</v>
      </c>
      <c r="F114" s="1" t="s">
        <v>5468</v>
      </c>
      <c r="H114" s="1">
        <v>11</v>
      </c>
      <c r="I114" s="1">
        <v>2014</v>
      </c>
      <c r="J114" s="1">
        <v>19</v>
      </c>
      <c r="K114" s="1">
        <v>1</v>
      </c>
      <c r="O114" s="1" t="s">
        <v>5469</v>
      </c>
    </row>
    <row r="115" spans="1:16" ht="15.75" customHeight="1">
      <c r="A115" s="1" t="s">
        <v>10</v>
      </c>
      <c r="B115" s="1" t="s">
        <v>3637</v>
      </c>
      <c r="C115" s="1" t="s">
        <v>3638</v>
      </c>
      <c r="D115" s="1" t="s">
        <v>3639</v>
      </c>
      <c r="E115" s="1" t="s">
        <v>3640</v>
      </c>
      <c r="F115" s="1" t="s">
        <v>3641</v>
      </c>
      <c r="H115" s="1">
        <v>10</v>
      </c>
      <c r="I115" s="1">
        <v>2014</v>
      </c>
      <c r="J115" s="1">
        <v>28</v>
      </c>
      <c r="O115" s="1" t="s">
        <v>3642</v>
      </c>
    </row>
    <row r="116" spans="1:16" ht="15.75" customHeight="1">
      <c r="A116" s="1" t="s">
        <v>10</v>
      </c>
      <c r="B116" s="1" t="s">
        <v>434</v>
      </c>
      <c r="C116" s="1" t="s">
        <v>435</v>
      </c>
      <c r="D116" s="1" t="s">
        <v>70</v>
      </c>
      <c r="E116" s="1" t="s">
        <v>436</v>
      </c>
      <c r="F116" s="1" t="s">
        <v>437</v>
      </c>
      <c r="H116" s="1">
        <v>7</v>
      </c>
      <c r="I116" s="1">
        <v>2014</v>
      </c>
      <c r="J116" s="1">
        <v>7</v>
      </c>
      <c r="K116" s="1">
        <v>4</v>
      </c>
    </row>
    <row r="117" spans="1:16" ht="15.75" customHeight="1">
      <c r="A117" s="1" t="s">
        <v>10</v>
      </c>
      <c r="B117" s="1" t="s">
        <v>4096</v>
      </c>
      <c r="C117" s="1" t="s">
        <v>4097</v>
      </c>
      <c r="D117" s="1" t="s">
        <v>1445</v>
      </c>
      <c r="E117" s="1" t="s">
        <v>4098</v>
      </c>
      <c r="F117" s="1" t="s">
        <v>4099</v>
      </c>
      <c r="H117" s="1">
        <v>7</v>
      </c>
      <c r="I117" s="1">
        <v>2014</v>
      </c>
      <c r="J117" s="1">
        <v>35</v>
      </c>
      <c r="K117" s="1">
        <v>5</v>
      </c>
      <c r="O117" s="1" t="s">
        <v>4100</v>
      </c>
    </row>
    <row r="118" spans="1:16" ht="15.75" customHeight="1">
      <c r="A118" s="1" t="s">
        <v>10</v>
      </c>
      <c r="B118" s="1" t="s">
        <v>4244</v>
      </c>
      <c r="C118" s="1" t="s">
        <v>4245</v>
      </c>
      <c r="D118" s="1" t="s">
        <v>70</v>
      </c>
      <c r="E118" s="1" t="s">
        <v>4246</v>
      </c>
      <c r="F118" s="1" t="s">
        <v>4247</v>
      </c>
      <c r="H118" s="1">
        <v>6</v>
      </c>
      <c r="I118" s="1">
        <v>2014</v>
      </c>
      <c r="J118" s="1">
        <v>7</v>
      </c>
      <c r="K118" s="1">
        <v>3</v>
      </c>
    </row>
    <row r="119" spans="1:16" ht="15.75" customHeight="1">
      <c r="A119" s="1" t="s">
        <v>10</v>
      </c>
      <c r="B119" s="1" t="s">
        <v>6883</v>
      </c>
      <c r="C119" s="1" t="s">
        <v>6889</v>
      </c>
      <c r="D119" s="1" t="s">
        <v>6890</v>
      </c>
      <c r="E119" s="1" t="s">
        <v>6891</v>
      </c>
      <c r="F119" s="1" t="s">
        <v>6892</v>
      </c>
      <c r="H119" s="1">
        <v>6</v>
      </c>
      <c r="I119" s="1">
        <v>2014</v>
      </c>
      <c r="J119" s="1">
        <v>17</v>
      </c>
      <c r="K119" s="1">
        <v>6</v>
      </c>
      <c r="O119" s="1" t="s">
        <v>6893</v>
      </c>
    </row>
    <row r="120" spans="1:16" ht="15.75" customHeight="1">
      <c r="A120" s="1" t="s">
        <v>10</v>
      </c>
      <c r="B120" s="1" t="s">
        <v>2404</v>
      </c>
      <c r="C120" s="1" t="s">
        <v>2405</v>
      </c>
      <c r="D120" s="1" t="s">
        <v>473</v>
      </c>
      <c r="E120" s="1" t="s">
        <v>2406</v>
      </c>
      <c r="F120" s="1" t="s">
        <v>2407</v>
      </c>
      <c r="H120" s="1">
        <v>6</v>
      </c>
      <c r="I120" s="1">
        <v>2014</v>
      </c>
      <c r="J120" s="1">
        <v>40</v>
      </c>
      <c r="K120" s="1">
        <v>121</v>
      </c>
    </row>
    <row r="121" spans="1:16" ht="15.75" customHeight="1">
      <c r="A121" s="1" t="s">
        <v>0</v>
      </c>
      <c r="B121" s="1" t="s">
        <v>4644</v>
      </c>
      <c r="C121" s="1" t="s">
        <v>4645</v>
      </c>
      <c r="D121" s="1" t="s">
        <v>4646</v>
      </c>
      <c r="E121" s="1" t="s">
        <v>4647</v>
      </c>
      <c r="F121" s="1" t="s">
        <v>4648</v>
      </c>
      <c r="G121" s="1">
        <v>39</v>
      </c>
      <c r="H121" s="1">
        <v>6</v>
      </c>
      <c r="I121" s="1">
        <v>2014</v>
      </c>
      <c r="J121" s="1">
        <v>93</v>
      </c>
      <c r="K121" s="1">
        <v>3</v>
      </c>
      <c r="L121" s="1">
        <v>577</v>
      </c>
      <c r="M121" s="1">
        <v>594</v>
      </c>
      <c r="N121" s="1" t="s">
        <v>6</v>
      </c>
      <c r="O121" s="1" t="s">
        <v>4649</v>
      </c>
      <c r="P121" s="3" t="str">
        <f>HYPERLINK("http://dx.doi.org/10.1111/pirs.12016","http://dx.doi.org/10.1111/pirs.12016")</f>
        <v>http://dx.doi.org/10.1111/pirs.12016</v>
      </c>
    </row>
    <row r="122" spans="1:16" ht="15.75" customHeight="1">
      <c r="A122" s="1" t="s">
        <v>0</v>
      </c>
      <c r="B122" s="1" t="s">
        <v>3568</v>
      </c>
      <c r="C122" s="1" t="s">
        <v>3569</v>
      </c>
      <c r="D122" s="1" t="s">
        <v>58</v>
      </c>
      <c r="E122" s="1" t="s">
        <v>3570</v>
      </c>
      <c r="F122" s="1" t="s">
        <v>3571</v>
      </c>
      <c r="G122" s="1">
        <v>49</v>
      </c>
      <c r="H122" s="1">
        <v>5</v>
      </c>
      <c r="I122" s="1">
        <v>2014</v>
      </c>
      <c r="J122" s="1">
        <v>14</v>
      </c>
      <c r="K122" s="1" t="s">
        <v>378</v>
      </c>
    </row>
    <row r="123" spans="1:16" ht="15.75" customHeight="1">
      <c r="A123" s="1" t="s">
        <v>0</v>
      </c>
      <c r="B123" s="1" t="s">
        <v>2606</v>
      </c>
      <c r="C123" s="1" t="s">
        <v>2607</v>
      </c>
      <c r="D123" s="1" t="s">
        <v>206</v>
      </c>
      <c r="E123" s="1" t="s">
        <v>2608</v>
      </c>
      <c r="F123" s="1" t="s">
        <v>2609</v>
      </c>
      <c r="G123" s="1">
        <v>36</v>
      </c>
      <c r="H123" s="1">
        <v>5</v>
      </c>
      <c r="I123" s="1">
        <v>2014</v>
      </c>
      <c r="J123" s="1" t="s">
        <v>6</v>
      </c>
      <c r="K123" s="1">
        <v>49</v>
      </c>
      <c r="L123" s="1">
        <v>101</v>
      </c>
      <c r="M123" s="1">
        <v>112</v>
      </c>
      <c r="N123" s="1" t="s">
        <v>6</v>
      </c>
      <c r="O123" s="1" t="s">
        <v>2610</v>
      </c>
      <c r="P123" s="3" t="str">
        <f>HYPERLINK("http://dx.doi.org/10.7440/res49.2014.08","http://dx.doi.org/10.7440/res49.2014.08")</f>
        <v>http://dx.doi.org/10.7440/res49.2014.08</v>
      </c>
    </row>
    <row r="124" spans="1:16" ht="15.75" customHeight="1">
      <c r="A124" s="1" t="s">
        <v>10</v>
      </c>
      <c r="B124" s="1" t="s">
        <v>1084</v>
      </c>
      <c r="C124" s="1" t="s">
        <v>1085</v>
      </c>
      <c r="D124" s="1" t="s">
        <v>1086</v>
      </c>
      <c r="F124" s="1" t="s">
        <v>1087</v>
      </c>
      <c r="H124" s="1">
        <v>5</v>
      </c>
      <c r="I124" s="1">
        <v>2014</v>
      </c>
      <c r="J124" s="1">
        <v>56</v>
      </c>
      <c r="K124" s="1">
        <v>2</v>
      </c>
      <c r="O124" s="1" t="s">
        <v>1088</v>
      </c>
    </row>
    <row r="125" spans="1:16" ht="15.75" customHeight="1">
      <c r="A125" s="1" t="s">
        <v>10</v>
      </c>
      <c r="B125" s="1" t="s">
        <v>1443</v>
      </c>
      <c r="C125" s="1" t="s">
        <v>1444</v>
      </c>
      <c r="D125" s="1" t="s">
        <v>1445</v>
      </c>
      <c r="E125" s="1" t="s">
        <v>1446</v>
      </c>
      <c r="F125" s="1" t="s">
        <v>1447</v>
      </c>
      <c r="H125" s="1">
        <v>4</v>
      </c>
      <c r="I125" s="1">
        <v>2014</v>
      </c>
      <c r="J125" s="1">
        <v>35</v>
      </c>
      <c r="K125" s="1">
        <v>5</v>
      </c>
      <c r="O125" s="1" t="s">
        <v>1448</v>
      </c>
    </row>
    <row r="126" spans="1:16" ht="15.75" customHeight="1">
      <c r="A126" s="1" t="s">
        <v>10</v>
      </c>
      <c r="B126" s="1" t="s">
        <v>6681</v>
      </c>
      <c r="C126" s="1" t="s">
        <v>6682</v>
      </c>
      <c r="D126" s="2" t="s">
        <v>6683</v>
      </c>
      <c r="E126" s="1" t="s">
        <v>6684</v>
      </c>
      <c r="F126" s="1" t="s">
        <v>6685</v>
      </c>
      <c r="H126" s="1">
        <v>4</v>
      </c>
      <c r="I126" s="1">
        <v>2014</v>
      </c>
      <c r="J126" s="1">
        <v>83</v>
      </c>
      <c r="O126" s="1" t="s">
        <v>6686</v>
      </c>
    </row>
    <row r="127" spans="1:16" ht="15.75" customHeight="1">
      <c r="A127" s="1" t="s">
        <v>10</v>
      </c>
      <c r="B127" s="1" t="s">
        <v>6097</v>
      </c>
      <c r="C127" s="1" t="s">
        <v>6098</v>
      </c>
      <c r="D127" s="1" t="s">
        <v>6099</v>
      </c>
      <c r="E127" s="1" t="s">
        <v>6100</v>
      </c>
      <c r="F127" s="1" t="s">
        <v>6101</v>
      </c>
      <c r="H127" s="1">
        <v>3</v>
      </c>
      <c r="I127" s="1">
        <v>2014</v>
      </c>
      <c r="J127" s="1">
        <v>50</v>
      </c>
      <c r="K127" s="1">
        <v>2</v>
      </c>
      <c r="O127" s="1" t="s">
        <v>6102</v>
      </c>
    </row>
    <row r="128" spans="1:16" ht="15.75" customHeight="1">
      <c r="A128" s="1" t="s">
        <v>10</v>
      </c>
      <c r="B128" s="1" t="s">
        <v>3893</v>
      </c>
      <c r="C128" s="1" t="s">
        <v>3894</v>
      </c>
      <c r="D128" s="1" t="s">
        <v>70</v>
      </c>
      <c r="E128" s="1" t="s">
        <v>3895</v>
      </c>
      <c r="F128" s="1" t="s">
        <v>3896</v>
      </c>
      <c r="H128" s="1">
        <v>3</v>
      </c>
      <c r="I128" s="1">
        <v>2014</v>
      </c>
      <c r="J128" s="1">
        <v>7</v>
      </c>
      <c r="K128" s="1">
        <v>4</v>
      </c>
    </row>
    <row r="129" spans="1:16" ht="15.75" customHeight="1">
      <c r="A129" s="1" t="s">
        <v>0</v>
      </c>
      <c r="B129" s="1" t="s">
        <v>6728</v>
      </c>
      <c r="C129" s="1" t="s">
        <v>6729</v>
      </c>
      <c r="D129" s="1" t="s">
        <v>727</v>
      </c>
      <c r="E129" s="1" t="s">
        <v>6730</v>
      </c>
      <c r="F129" s="1" t="s">
        <v>6731</v>
      </c>
      <c r="G129" s="1">
        <v>9</v>
      </c>
      <c r="H129" s="1">
        <v>3</v>
      </c>
      <c r="I129" s="1">
        <v>2014</v>
      </c>
      <c r="J129" s="1">
        <v>27</v>
      </c>
      <c r="K129" s="1" t="s">
        <v>55</v>
      </c>
    </row>
    <row r="130" spans="1:16" ht="15.75" customHeight="1">
      <c r="A130" s="1" t="s">
        <v>10</v>
      </c>
      <c r="B130" s="1" t="s">
        <v>5917</v>
      </c>
      <c r="C130" s="1" t="s">
        <v>5918</v>
      </c>
      <c r="D130" s="1" t="s">
        <v>5919</v>
      </c>
      <c r="F130" s="1" t="s">
        <v>5920</v>
      </c>
      <c r="H130" s="1">
        <v>3</v>
      </c>
      <c r="I130" s="1">
        <v>2014</v>
      </c>
      <c r="J130" s="1">
        <v>18</v>
      </c>
      <c r="K130" s="1">
        <v>3</v>
      </c>
      <c r="O130" s="1" t="s">
        <v>5921</v>
      </c>
    </row>
    <row r="131" spans="1:16" ht="15.75" customHeight="1">
      <c r="A131" s="1" t="s">
        <v>0</v>
      </c>
      <c r="B131" s="1" t="s">
        <v>2569</v>
      </c>
      <c r="C131" s="1" t="s">
        <v>2573</v>
      </c>
      <c r="D131" s="1" t="s">
        <v>201</v>
      </c>
      <c r="E131" s="8" t="s">
        <v>7118</v>
      </c>
      <c r="F131" s="9" t="s">
        <v>7119</v>
      </c>
      <c r="G131" s="1">
        <v>42</v>
      </c>
      <c r="H131" s="1">
        <v>2</v>
      </c>
      <c r="I131" s="1">
        <v>2014</v>
      </c>
      <c r="J131" s="1" t="s">
        <v>6</v>
      </c>
      <c r="K131" s="1">
        <v>48</v>
      </c>
      <c r="L131" s="1">
        <v>175</v>
      </c>
      <c r="M131" s="1">
        <v>190</v>
      </c>
      <c r="N131" s="1" t="s">
        <v>6</v>
      </c>
      <c r="O131" s="1" t="s">
        <v>6</v>
      </c>
      <c r="P131" s="1" t="s">
        <v>6</v>
      </c>
    </row>
    <row r="132" spans="1:16" ht="15.75" customHeight="1">
      <c r="A132" s="1" t="s">
        <v>0</v>
      </c>
      <c r="B132" s="1" t="s">
        <v>3280</v>
      </c>
      <c r="C132" s="1" t="s">
        <v>3281</v>
      </c>
      <c r="D132" s="1" t="s">
        <v>3282</v>
      </c>
      <c r="E132" s="8" t="s">
        <v>7121</v>
      </c>
      <c r="F132" s="1" t="s">
        <v>3283</v>
      </c>
      <c r="G132" s="1">
        <v>54</v>
      </c>
      <c r="H132" s="1">
        <v>2</v>
      </c>
      <c r="I132" s="1">
        <v>2014</v>
      </c>
      <c r="J132" s="1">
        <v>27</v>
      </c>
      <c r="K132" s="1">
        <v>1</v>
      </c>
      <c r="L132" s="1">
        <v>132</v>
      </c>
      <c r="M132" s="1">
        <v>154</v>
      </c>
      <c r="N132" s="1" t="s">
        <v>6</v>
      </c>
      <c r="O132" s="1" t="s">
        <v>6</v>
      </c>
      <c r="P132" s="1" t="s">
        <v>6</v>
      </c>
    </row>
    <row r="133" spans="1:16" ht="15.75" customHeight="1">
      <c r="A133" s="1" t="s">
        <v>10</v>
      </c>
      <c r="B133" s="1" t="s">
        <v>1160</v>
      </c>
      <c r="C133" s="1" t="s">
        <v>1161</v>
      </c>
      <c r="D133" s="1" t="s">
        <v>1162</v>
      </c>
      <c r="E133" s="1" t="s">
        <v>1163</v>
      </c>
      <c r="F133" s="1" t="s">
        <v>1164</v>
      </c>
      <c r="H133" s="1">
        <v>2</v>
      </c>
      <c r="I133" s="1">
        <v>2014</v>
      </c>
      <c r="J133" s="1">
        <v>19</v>
      </c>
      <c r="K133" s="1">
        <v>2</v>
      </c>
    </row>
    <row r="134" spans="1:16" ht="15.75" customHeight="1">
      <c r="A134" s="1" t="s">
        <v>10</v>
      </c>
      <c r="B134" s="1" t="s">
        <v>1753</v>
      </c>
      <c r="C134" s="1" t="s">
        <v>1754</v>
      </c>
      <c r="D134" s="1" t="s">
        <v>1755</v>
      </c>
      <c r="E134" s="1" t="s">
        <v>1756</v>
      </c>
      <c r="F134" s="1" t="s">
        <v>1757</v>
      </c>
      <c r="H134" s="1">
        <v>2</v>
      </c>
      <c r="I134" s="1">
        <v>2014</v>
      </c>
      <c r="J134" s="1">
        <v>34</v>
      </c>
      <c r="O134" s="1" t="s">
        <v>1758</v>
      </c>
    </row>
    <row r="135" spans="1:16" ht="15.75" customHeight="1">
      <c r="A135" s="1" t="s">
        <v>10</v>
      </c>
      <c r="B135" s="1" t="s">
        <v>2729</v>
      </c>
      <c r="C135" s="1" t="s">
        <v>2730</v>
      </c>
      <c r="D135" s="1" t="s">
        <v>2731</v>
      </c>
      <c r="E135" s="1" t="s">
        <v>2732</v>
      </c>
      <c r="F135" s="1" t="s">
        <v>2733</v>
      </c>
      <c r="H135" s="1">
        <v>2</v>
      </c>
      <c r="I135" s="1">
        <v>2014</v>
      </c>
      <c r="J135" s="1">
        <v>2014</v>
      </c>
      <c r="K135" s="1">
        <v>35</v>
      </c>
    </row>
    <row r="136" spans="1:16" ht="15.75" customHeight="1">
      <c r="A136" s="1" t="s">
        <v>0</v>
      </c>
      <c r="B136" s="1" t="s">
        <v>3767</v>
      </c>
      <c r="C136" s="1" t="s">
        <v>3768</v>
      </c>
      <c r="D136" s="1" t="s">
        <v>2022</v>
      </c>
      <c r="E136" s="1" t="s">
        <v>3769</v>
      </c>
      <c r="F136" s="1" t="s">
        <v>3770</v>
      </c>
      <c r="G136" s="1">
        <v>62</v>
      </c>
      <c r="H136" s="1">
        <v>2</v>
      </c>
      <c r="I136" s="1">
        <v>2014</v>
      </c>
      <c r="J136" s="1" t="s">
        <v>6</v>
      </c>
      <c r="K136" s="1">
        <v>58</v>
      </c>
      <c r="L136" s="1">
        <v>223</v>
      </c>
      <c r="M136" s="1">
        <v>240</v>
      </c>
      <c r="N136" s="1" t="s">
        <v>6</v>
      </c>
      <c r="O136" s="1" t="s">
        <v>6</v>
      </c>
      <c r="P136" s="1" t="s">
        <v>6</v>
      </c>
    </row>
    <row r="137" spans="1:16" ht="15.75" customHeight="1">
      <c r="A137" s="1" t="s">
        <v>10</v>
      </c>
      <c r="B137" s="1" t="s">
        <v>5510</v>
      </c>
      <c r="C137" s="1" t="s">
        <v>5511</v>
      </c>
      <c r="D137" s="1" t="s">
        <v>5512</v>
      </c>
      <c r="E137" s="1" t="s">
        <v>5513</v>
      </c>
      <c r="F137" s="1" t="s">
        <v>5514</v>
      </c>
      <c r="H137" s="1">
        <v>1</v>
      </c>
      <c r="I137" s="1">
        <v>2014</v>
      </c>
      <c r="J137" s="1">
        <v>29</v>
      </c>
      <c r="K137" s="1">
        <v>1</v>
      </c>
      <c r="O137" s="1" t="s">
        <v>5515</v>
      </c>
    </row>
    <row r="138" spans="1:16" ht="15.75" customHeight="1">
      <c r="A138" s="1" t="s">
        <v>0</v>
      </c>
      <c r="B138" s="1" t="s">
        <v>6423</v>
      </c>
      <c r="C138" s="1" t="s">
        <v>6424</v>
      </c>
      <c r="D138" s="1" t="s">
        <v>1506</v>
      </c>
      <c r="E138" s="1" t="s">
        <v>6425</v>
      </c>
      <c r="F138" s="1" t="s">
        <v>6426</v>
      </c>
      <c r="G138" s="1">
        <v>21</v>
      </c>
      <c r="H138" s="1">
        <v>1</v>
      </c>
      <c r="I138" s="1">
        <v>2014</v>
      </c>
      <c r="J138" s="1">
        <v>18</v>
      </c>
      <c r="K138" s="1">
        <v>493</v>
      </c>
      <c r="L138" s="1" t="s">
        <v>6</v>
      </c>
      <c r="M138" s="1" t="s">
        <v>6</v>
      </c>
      <c r="N138" s="1" t="s">
        <v>6</v>
      </c>
      <c r="O138" s="1" t="s">
        <v>6</v>
      </c>
      <c r="P138" s="1" t="s">
        <v>6</v>
      </c>
    </row>
    <row r="139" spans="1:16" ht="15.75" customHeight="1">
      <c r="A139" s="1" t="s">
        <v>10</v>
      </c>
      <c r="B139" s="1" t="s">
        <v>3274</v>
      </c>
      <c r="C139" s="1" t="s">
        <v>3275</v>
      </c>
      <c r="D139" s="1" t="s">
        <v>3276</v>
      </c>
      <c r="E139" s="1" t="s">
        <v>3277</v>
      </c>
      <c r="F139" s="1" t="s">
        <v>3278</v>
      </c>
      <c r="H139" s="1">
        <v>0</v>
      </c>
      <c r="I139" s="1">
        <v>2014</v>
      </c>
      <c r="J139" s="1">
        <v>3</v>
      </c>
      <c r="K139" s="1">
        <v>1</v>
      </c>
      <c r="O139" s="1" t="s">
        <v>3279</v>
      </c>
    </row>
    <row r="140" spans="1:16" ht="15.75" customHeight="1">
      <c r="A140" s="1" t="s">
        <v>10</v>
      </c>
      <c r="B140" s="1" t="s">
        <v>654</v>
      </c>
      <c r="C140" s="1" t="s">
        <v>655</v>
      </c>
      <c r="D140" s="1" t="s">
        <v>656</v>
      </c>
      <c r="E140" s="1" t="s">
        <v>657</v>
      </c>
      <c r="F140" s="1" t="s">
        <v>658</v>
      </c>
      <c r="H140" s="1">
        <v>0</v>
      </c>
      <c r="I140" s="1">
        <v>2014</v>
      </c>
      <c r="J140" s="1">
        <v>2014</v>
      </c>
      <c r="K140" s="1">
        <v>15</v>
      </c>
      <c r="O140" s="1" t="s">
        <v>659</v>
      </c>
    </row>
    <row r="141" spans="1:16" ht="15.75" customHeight="1">
      <c r="A141" s="1" t="s">
        <v>463</v>
      </c>
      <c r="B141" s="1" t="s">
        <v>4173</v>
      </c>
      <c r="C141" s="1" t="s">
        <v>4174</v>
      </c>
      <c r="D141" s="1" t="s">
        <v>4175</v>
      </c>
      <c r="E141" s="1" t="s">
        <v>4176</v>
      </c>
      <c r="F141" s="1" t="s">
        <v>4177</v>
      </c>
      <c r="H141" s="1">
        <v>0</v>
      </c>
      <c r="I141" s="1">
        <v>2014</v>
      </c>
    </row>
    <row r="142" spans="1:16" ht="15.75" customHeight="1">
      <c r="A142" s="1" t="s">
        <v>0</v>
      </c>
      <c r="B142" s="1" t="s">
        <v>2055</v>
      </c>
      <c r="C142" s="1" t="s">
        <v>2056</v>
      </c>
      <c r="D142" s="1" t="s">
        <v>2057</v>
      </c>
      <c r="E142" s="1" t="s">
        <v>2058</v>
      </c>
      <c r="F142" s="1" t="s">
        <v>2059</v>
      </c>
      <c r="G142" s="1">
        <v>19</v>
      </c>
      <c r="H142" s="1">
        <v>0</v>
      </c>
      <c r="I142" s="1">
        <v>2014</v>
      </c>
      <c r="J142" s="1" t="s">
        <v>6</v>
      </c>
      <c r="K142" s="1">
        <v>39</v>
      </c>
      <c r="L142" s="1">
        <v>23</v>
      </c>
      <c r="M142" s="1">
        <v>36</v>
      </c>
      <c r="N142" s="1" t="s">
        <v>6</v>
      </c>
      <c r="O142" s="1" t="s">
        <v>6</v>
      </c>
      <c r="P142" s="1" t="s">
        <v>6</v>
      </c>
    </row>
    <row r="143" spans="1:16" ht="15.75" customHeight="1">
      <c r="A143" s="1" t="s">
        <v>10</v>
      </c>
      <c r="B143" s="1" t="s">
        <v>2501</v>
      </c>
      <c r="C143" s="1" t="s">
        <v>2502</v>
      </c>
      <c r="D143" s="1" t="s">
        <v>2503</v>
      </c>
      <c r="E143" s="1" t="s">
        <v>2504</v>
      </c>
      <c r="F143" s="1" t="s">
        <v>2505</v>
      </c>
      <c r="H143" s="1">
        <v>73</v>
      </c>
      <c r="I143" s="1">
        <v>2015</v>
      </c>
      <c r="J143" s="1">
        <v>20</v>
      </c>
      <c r="K143" s="1">
        <v>5</v>
      </c>
      <c r="O143" s="1" t="s">
        <v>2506</v>
      </c>
    </row>
    <row r="144" spans="1:16" ht="15.75" customHeight="1">
      <c r="A144" s="1" t="s">
        <v>0</v>
      </c>
      <c r="B144" s="1" t="s">
        <v>6433</v>
      </c>
      <c r="C144" s="1" t="s">
        <v>6434</v>
      </c>
      <c r="D144" s="1" t="s">
        <v>52</v>
      </c>
      <c r="E144" s="1" t="s">
        <v>6435</v>
      </c>
      <c r="F144" s="1" t="s">
        <v>6436</v>
      </c>
      <c r="G144" s="1">
        <v>109</v>
      </c>
      <c r="H144" s="1">
        <v>62</v>
      </c>
      <c r="I144" s="1">
        <v>2015</v>
      </c>
      <c r="J144" s="1">
        <v>14</v>
      </c>
      <c r="K144" s="1" t="s">
        <v>3604</v>
      </c>
    </row>
    <row r="145" spans="1:16" ht="15.75" customHeight="1">
      <c r="A145" s="1" t="s">
        <v>0</v>
      </c>
      <c r="B145" s="1" t="s">
        <v>5648</v>
      </c>
      <c r="C145" s="1" t="s">
        <v>5649</v>
      </c>
      <c r="D145" s="1" t="s">
        <v>52</v>
      </c>
      <c r="E145" s="1" t="s">
        <v>5650</v>
      </c>
      <c r="F145" s="1" t="s">
        <v>5651</v>
      </c>
      <c r="G145" s="1">
        <v>42</v>
      </c>
      <c r="H145" s="1">
        <v>56</v>
      </c>
      <c r="I145" s="1">
        <v>2015</v>
      </c>
      <c r="J145" s="1">
        <v>14</v>
      </c>
      <c r="K145" s="1" t="s">
        <v>3604</v>
      </c>
    </row>
    <row r="146" spans="1:16" ht="15.75" customHeight="1">
      <c r="A146" s="1" t="s">
        <v>10</v>
      </c>
      <c r="B146" s="1" t="s">
        <v>6322</v>
      </c>
      <c r="C146" s="1" t="s">
        <v>6323</v>
      </c>
      <c r="D146" s="1" t="s">
        <v>2104</v>
      </c>
      <c r="E146" s="1" t="s">
        <v>6324</v>
      </c>
      <c r="F146" s="1" t="s">
        <v>6325</v>
      </c>
      <c r="H146" s="1">
        <v>54</v>
      </c>
      <c r="I146" s="1">
        <v>2015</v>
      </c>
      <c r="J146" s="1">
        <v>41</v>
      </c>
      <c r="K146" s="1" t="s">
        <v>1343</v>
      </c>
      <c r="O146" s="1" t="s">
        <v>6326</v>
      </c>
    </row>
    <row r="147" spans="1:16" ht="15.75" customHeight="1">
      <c r="A147" s="1" t="s">
        <v>10</v>
      </c>
      <c r="B147" s="1" t="s">
        <v>6906</v>
      </c>
      <c r="C147" s="1" t="s">
        <v>6907</v>
      </c>
      <c r="D147" s="1" t="s">
        <v>6908</v>
      </c>
      <c r="E147" s="1" t="s">
        <v>6909</v>
      </c>
      <c r="F147" s="1" t="s">
        <v>6910</v>
      </c>
      <c r="H147" s="1">
        <v>48</v>
      </c>
      <c r="I147" s="1">
        <v>2015</v>
      </c>
      <c r="J147" s="1">
        <v>15</v>
      </c>
      <c r="K147" s="1">
        <v>3</v>
      </c>
      <c r="O147" s="1" t="s">
        <v>6911</v>
      </c>
    </row>
    <row r="148" spans="1:16" ht="15.75" customHeight="1">
      <c r="A148" s="1" t="s">
        <v>10</v>
      </c>
      <c r="B148" s="1" t="s">
        <v>140</v>
      </c>
      <c r="C148" s="1" t="s">
        <v>141</v>
      </c>
      <c r="D148" s="1" t="s">
        <v>142</v>
      </c>
      <c r="E148" s="1" t="s">
        <v>143</v>
      </c>
      <c r="F148" s="1" t="s">
        <v>144</v>
      </c>
      <c r="H148" s="1">
        <v>46</v>
      </c>
      <c r="I148" s="1">
        <v>2015</v>
      </c>
      <c r="J148" s="1">
        <v>50</v>
      </c>
      <c r="K148" s="1">
        <v>11</v>
      </c>
      <c r="O148" s="1" t="s">
        <v>145</v>
      </c>
    </row>
    <row r="149" spans="1:16" ht="15.75" customHeight="1">
      <c r="A149" s="1" t="s">
        <v>0</v>
      </c>
      <c r="B149" s="1" t="s">
        <v>3595</v>
      </c>
      <c r="C149" s="1" t="s">
        <v>3601</v>
      </c>
      <c r="D149" s="1" t="s">
        <v>52</v>
      </c>
      <c r="E149" s="1" t="s">
        <v>3602</v>
      </c>
      <c r="F149" s="1" t="s">
        <v>3603</v>
      </c>
      <c r="G149" s="1">
        <v>42</v>
      </c>
      <c r="H149" s="1">
        <v>45</v>
      </c>
      <c r="I149" s="1">
        <v>2015</v>
      </c>
      <c r="J149" s="1">
        <v>14</v>
      </c>
      <c r="K149" s="1" t="s">
        <v>3604</v>
      </c>
    </row>
    <row r="150" spans="1:16" ht="15.75" customHeight="1">
      <c r="A150" s="1" t="s">
        <v>10</v>
      </c>
      <c r="B150" s="1" t="s">
        <v>1256</v>
      </c>
      <c r="C150" s="1" t="s">
        <v>1257</v>
      </c>
      <c r="D150" s="1" t="s">
        <v>1258</v>
      </c>
      <c r="E150" s="1" t="s">
        <v>1259</v>
      </c>
      <c r="F150" s="1" t="s">
        <v>1260</v>
      </c>
      <c r="H150" s="1">
        <v>38</v>
      </c>
      <c r="I150" s="1">
        <v>2015</v>
      </c>
      <c r="J150" s="1">
        <v>41</v>
      </c>
      <c r="O150" s="1" t="s">
        <v>1261</v>
      </c>
    </row>
    <row r="151" spans="1:16" ht="15.75" customHeight="1">
      <c r="A151" s="1" t="s">
        <v>0</v>
      </c>
      <c r="B151" s="1" t="s">
        <v>5979</v>
      </c>
      <c r="C151" s="1" t="s">
        <v>5980</v>
      </c>
      <c r="D151" s="1" t="s">
        <v>2022</v>
      </c>
      <c r="E151" s="1" t="s">
        <v>5981</v>
      </c>
      <c r="F151" s="1" t="s">
        <v>5982</v>
      </c>
      <c r="G151" s="1">
        <v>39</v>
      </c>
      <c r="H151" s="1">
        <v>33</v>
      </c>
      <c r="I151" s="1">
        <v>2015</v>
      </c>
      <c r="J151" s="1" t="s">
        <v>6</v>
      </c>
      <c r="K151" s="1">
        <v>62</v>
      </c>
      <c r="L151" s="1">
        <v>127</v>
      </c>
      <c r="M151" s="1">
        <v>149</v>
      </c>
      <c r="N151" s="1" t="s">
        <v>6</v>
      </c>
      <c r="O151" s="1" t="s">
        <v>6</v>
      </c>
      <c r="P151" s="1" t="s">
        <v>6</v>
      </c>
    </row>
    <row r="152" spans="1:16" ht="15.75" customHeight="1">
      <c r="A152" s="1" t="s">
        <v>10</v>
      </c>
      <c r="B152" s="1" t="s">
        <v>4539</v>
      </c>
      <c r="C152" s="1" t="s">
        <v>4540</v>
      </c>
      <c r="D152" s="1" t="s">
        <v>4541</v>
      </c>
      <c r="E152" s="1" t="s">
        <v>4542</v>
      </c>
      <c r="F152" s="1" t="s">
        <v>4543</v>
      </c>
      <c r="H152" s="1">
        <v>31</v>
      </c>
      <c r="I152" s="1">
        <v>2015</v>
      </c>
      <c r="J152" s="1">
        <v>15</v>
      </c>
      <c r="K152" s="1">
        <v>3</v>
      </c>
      <c r="O152" s="1" t="s">
        <v>4544</v>
      </c>
    </row>
    <row r="153" spans="1:16" ht="15.75" customHeight="1">
      <c r="A153" s="1" t="s">
        <v>10</v>
      </c>
      <c r="B153" s="1" t="s">
        <v>5133</v>
      </c>
      <c r="C153" s="1" t="s">
        <v>5134</v>
      </c>
      <c r="D153" s="1" t="s">
        <v>5135</v>
      </c>
      <c r="E153" s="1" t="s">
        <v>5136</v>
      </c>
      <c r="F153" s="1" t="s">
        <v>5137</v>
      </c>
      <c r="H153" s="1">
        <v>30</v>
      </c>
      <c r="I153" s="1">
        <v>2015</v>
      </c>
      <c r="J153" s="1">
        <v>44</v>
      </c>
      <c r="K153" s="1">
        <v>1</v>
      </c>
      <c r="O153" s="1" t="s">
        <v>5138</v>
      </c>
    </row>
    <row r="154" spans="1:16" ht="15.75" customHeight="1">
      <c r="A154" s="1" t="s">
        <v>0</v>
      </c>
      <c r="B154" s="1" t="s">
        <v>444</v>
      </c>
      <c r="C154" s="1" t="s">
        <v>445</v>
      </c>
      <c r="D154" s="1" t="s">
        <v>446</v>
      </c>
      <c r="E154" s="1" t="s">
        <v>447</v>
      </c>
      <c r="F154" s="1" t="s">
        <v>448</v>
      </c>
      <c r="G154" s="1">
        <v>64</v>
      </c>
      <c r="H154" s="1">
        <v>30</v>
      </c>
      <c r="I154" s="1">
        <v>2015</v>
      </c>
      <c r="J154" s="1">
        <v>20</v>
      </c>
      <c r="K154" s="1">
        <v>3</v>
      </c>
      <c r="L154" s="1">
        <v>319</v>
      </c>
      <c r="M154" s="1">
        <v>346</v>
      </c>
      <c r="N154" s="1" t="s">
        <v>6</v>
      </c>
      <c r="O154" s="1" t="s">
        <v>449</v>
      </c>
      <c r="P154" s="3" t="str">
        <f>HYPERLINK("http://dx.doi.org/10.1007/s11366-015-9365-z","http://dx.doi.org/10.1007/s11366-015-9365-z")</f>
        <v>http://dx.doi.org/10.1007/s11366-015-9365-z</v>
      </c>
    </row>
    <row r="155" spans="1:16" ht="15.75" customHeight="1">
      <c r="A155" s="1" t="s">
        <v>10</v>
      </c>
      <c r="B155" s="1" t="s">
        <v>3551</v>
      </c>
      <c r="C155" s="1" t="s">
        <v>3552</v>
      </c>
      <c r="D155" s="1" t="s">
        <v>3553</v>
      </c>
      <c r="E155" s="1" t="s">
        <v>3554</v>
      </c>
      <c r="F155" s="1" t="s">
        <v>3555</v>
      </c>
      <c r="H155" s="1">
        <v>22</v>
      </c>
      <c r="I155" s="1">
        <v>2015</v>
      </c>
      <c r="J155" s="1">
        <v>28</v>
      </c>
      <c r="K155" s="1">
        <v>10</v>
      </c>
      <c r="O155" s="1" t="s">
        <v>3556</v>
      </c>
    </row>
    <row r="156" spans="1:16" ht="15.75" customHeight="1">
      <c r="A156" s="1" t="s">
        <v>0</v>
      </c>
      <c r="B156" s="1" t="s">
        <v>3595</v>
      </c>
      <c r="C156" s="1" t="s">
        <v>3596</v>
      </c>
      <c r="D156" s="1" t="s">
        <v>3597</v>
      </c>
      <c r="E156" s="1" t="s">
        <v>3598</v>
      </c>
      <c r="F156" s="1" t="s">
        <v>3599</v>
      </c>
      <c r="G156" s="1">
        <v>40</v>
      </c>
      <c r="H156" s="1">
        <v>21</v>
      </c>
      <c r="I156" s="1">
        <v>2015</v>
      </c>
      <c r="J156" s="1">
        <v>16</v>
      </c>
      <c r="K156" s="1" t="s">
        <v>3600</v>
      </c>
    </row>
    <row r="157" spans="1:16" ht="15.75" customHeight="1">
      <c r="A157" s="1" t="s">
        <v>10</v>
      </c>
      <c r="B157" s="1" t="s">
        <v>4687</v>
      </c>
      <c r="C157" s="1" t="s">
        <v>4688</v>
      </c>
      <c r="D157" s="1" t="s">
        <v>430</v>
      </c>
      <c r="E157" s="1" t="s">
        <v>4689</v>
      </c>
      <c r="F157" s="1" t="s">
        <v>4690</v>
      </c>
      <c r="H157" s="1">
        <v>20</v>
      </c>
      <c r="I157" s="1">
        <v>2015</v>
      </c>
      <c r="J157" s="1">
        <v>17</v>
      </c>
      <c r="K157" s="1">
        <v>2</v>
      </c>
      <c r="O157" s="1" t="s">
        <v>4691</v>
      </c>
    </row>
    <row r="158" spans="1:16" ht="15.75" customHeight="1">
      <c r="A158" s="1" t="s">
        <v>10</v>
      </c>
      <c r="B158" s="1" t="s">
        <v>5031</v>
      </c>
      <c r="C158" s="1" t="s">
        <v>5032</v>
      </c>
      <c r="D158" s="1" t="s">
        <v>946</v>
      </c>
      <c r="E158" s="1" t="s">
        <v>5033</v>
      </c>
      <c r="F158" s="1" t="s">
        <v>5034</v>
      </c>
      <c r="H158" s="1">
        <v>20</v>
      </c>
      <c r="I158" s="1">
        <v>2015</v>
      </c>
      <c r="J158" s="1">
        <v>20</v>
      </c>
      <c r="K158" s="1">
        <v>1</v>
      </c>
      <c r="O158" s="1" t="s">
        <v>5035</v>
      </c>
    </row>
    <row r="159" spans="1:16" ht="15.75" customHeight="1">
      <c r="A159" s="1" t="s">
        <v>10</v>
      </c>
      <c r="B159" s="1" t="s">
        <v>2932</v>
      </c>
      <c r="C159" s="1" t="s">
        <v>2933</v>
      </c>
      <c r="D159" s="1" t="s">
        <v>2934</v>
      </c>
      <c r="E159" s="1" t="s">
        <v>2935</v>
      </c>
      <c r="F159" s="1" t="s">
        <v>2936</v>
      </c>
      <c r="H159" s="1">
        <v>19</v>
      </c>
      <c r="I159" s="1">
        <v>2015</v>
      </c>
      <c r="J159" s="1">
        <v>61</v>
      </c>
      <c r="K159" s="1">
        <v>2</v>
      </c>
      <c r="O159" s="1" t="s">
        <v>2937</v>
      </c>
    </row>
    <row r="160" spans="1:16" ht="15.75" customHeight="1">
      <c r="A160" s="1" t="s">
        <v>10</v>
      </c>
      <c r="B160" s="1" t="s">
        <v>4739</v>
      </c>
      <c r="C160" s="1" t="s">
        <v>4740</v>
      </c>
      <c r="D160" s="1" t="s">
        <v>4741</v>
      </c>
      <c r="F160" s="1" t="s">
        <v>4742</v>
      </c>
      <c r="H160" s="1">
        <v>16</v>
      </c>
      <c r="I160" s="1">
        <v>2015</v>
      </c>
      <c r="J160" s="1">
        <v>71</v>
      </c>
      <c r="K160" s="1">
        <v>2</v>
      </c>
      <c r="O160" s="1" t="s">
        <v>4743</v>
      </c>
    </row>
    <row r="161" spans="1:16" ht="15.75" customHeight="1">
      <c r="A161" s="1" t="s">
        <v>0</v>
      </c>
      <c r="B161" s="1" t="s">
        <v>6220</v>
      </c>
      <c r="C161" s="1" t="s">
        <v>6221</v>
      </c>
      <c r="D161" s="1" t="s">
        <v>195</v>
      </c>
      <c r="E161" s="1" t="s">
        <v>6222</v>
      </c>
      <c r="F161" s="1" t="s">
        <v>6223</v>
      </c>
      <c r="G161" s="1">
        <v>35</v>
      </c>
      <c r="H161" s="1">
        <v>15</v>
      </c>
      <c r="I161" s="1">
        <v>2015</v>
      </c>
      <c r="J161" s="1">
        <v>47</v>
      </c>
      <c r="K161" s="1">
        <v>4</v>
      </c>
      <c r="L161" s="1">
        <v>669</v>
      </c>
      <c r="M161" s="1">
        <v>678</v>
      </c>
      <c r="N161" s="1" t="s">
        <v>6</v>
      </c>
      <c r="O161" s="1" t="s">
        <v>6224</v>
      </c>
      <c r="P161" s="3" t="str">
        <f>HYPERLINK("http://dx.doi.org/10.4067/S0717-73562015005000035","http://dx.doi.org/10.4067/S0717-73562015005000035")</f>
        <v>http://dx.doi.org/10.4067/S0717-73562015005000035</v>
      </c>
    </row>
    <row r="162" spans="1:16" ht="15.75" customHeight="1">
      <c r="A162" s="1" t="s">
        <v>0</v>
      </c>
      <c r="B162" s="1" t="s">
        <v>3998</v>
      </c>
      <c r="C162" s="1" t="s">
        <v>3999</v>
      </c>
      <c r="D162" s="1" t="s">
        <v>52</v>
      </c>
      <c r="E162" s="1" t="s">
        <v>4000</v>
      </c>
      <c r="F162" s="1" t="s">
        <v>4001</v>
      </c>
      <c r="G162" s="1">
        <v>31</v>
      </c>
      <c r="H162" s="1">
        <v>15</v>
      </c>
      <c r="I162" s="1">
        <v>2015</v>
      </c>
      <c r="J162" s="1">
        <v>14</v>
      </c>
      <c r="K162" s="1" t="s">
        <v>3604</v>
      </c>
    </row>
    <row r="163" spans="1:16" ht="15.75" customHeight="1">
      <c r="A163" s="1" t="s">
        <v>10</v>
      </c>
      <c r="B163" s="1" t="s">
        <v>2060</v>
      </c>
      <c r="C163" s="1" t="s">
        <v>2061</v>
      </c>
      <c r="D163" s="1" t="s">
        <v>2062</v>
      </c>
      <c r="E163" s="1" t="s">
        <v>2063</v>
      </c>
      <c r="F163" s="1" t="s">
        <v>2064</v>
      </c>
      <c r="H163" s="1">
        <v>14</v>
      </c>
      <c r="I163" s="1">
        <v>2015</v>
      </c>
      <c r="J163" s="1">
        <v>9</v>
      </c>
      <c r="K163" s="1">
        <v>1</v>
      </c>
    </row>
    <row r="164" spans="1:16" ht="15.75" customHeight="1">
      <c r="A164" s="1" t="s">
        <v>10</v>
      </c>
      <c r="B164" s="1" t="s">
        <v>3876</v>
      </c>
      <c r="C164" s="1" t="s">
        <v>3877</v>
      </c>
      <c r="D164" s="1" t="s">
        <v>3878</v>
      </c>
      <c r="E164" s="1" t="s">
        <v>3879</v>
      </c>
      <c r="F164" s="1" t="s">
        <v>3880</v>
      </c>
      <c r="H164" s="1">
        <v>14</v>
      </c>
      <c r="I164" s="1">
        <v>2015</v>
      </c>
      <c r="J164" s="1">
        <v>23</v>
      </c>
      <c r="K164" s="1">
        <v>55</v>
      </c>
      <c r="O164" s="1" t="s">
        <v>3881</v>
      </c>
    </row>
    <row r="165" spans="1:16" ht="15.75" customHeight="1">
      <c r="A165" s="1" t="s">
        <v>10</v>
      </c>
      <c r="B165" s="1" t="s">
        <v>1884</v>
      </c>
      <c r="C165" s="1" t="s">
        <v>1885</v>
      </c>
      <c r="D165" s="1" t="s">
        <v>1886</v>
      </c>
      <c r="E165" s="1" t="s">
        <v>1887</v>
      </c>
      <c r="F165" s="1" t="s">
        <v>1888</v>
      </c>
      <c r="H165" s="1">
        <v>13</v>
      </c>
      <c r="I165" s="1">
        <v>2015</v>
      </c>
      <c r="J165" s="1">
        <v>30</v>
      </c>
      <c r="K165" s="1">
        <v>6</v>
      </c>
      <c r="O165" s="1" t="s">
        <v>1889</v>
      </c>
    </row>
    <row r="166" spans="1:16" ht="15.75" customHeight="1">
      <c r="A166" s="1" t="s">
        <v>10</v>
      </c>
      <c r="B166" s="1" t="s">
        <v>3262</v>
      </c>
      <c r="C166" s="1" t="s">
        <v>3263</v>
      </c>
      <c r="D166" s="1" t="s">
        <v>3264</v>
      </c>
      <c r="E166" s="1" t="s">
        <v>3265</v>
      </c>
      <c r="F166" s="1" t="s">
        <v>3266</v>
      </c>
      <c r="H166" s="1">
        <v>12</v>
      </c>
      <c r="I166" s="1">
        <v>2015</v>
      </c>
      <c r="J166" s="1">
        <v>14</v>
      </c>
      <c r="K166" s="1">
        <v>3</v>
      </c>
      <c r="O166" s="1" t="s">
        <v>3267</v>
      </c>
    </row>
    <row r="167" spans="1:16" ht="15.75" customHeight="1">
      <c r="A167" s="1" t="s">
        <v>10</v>
      </c>
      <c r="B167" s="1" t="s">
        <v>3068</v>
      </c>
      <c r="C167" s="1" t="s">
        <v>3069</v>
      </c>
      <c r="D167" s="1" t="s">
        <v>3070</v>
      </c>
      <c r="E167" s="1" t="s">
        <v>3071</v>
      </c>
      <c r="F167" s="1" t="s">
        <v>3072</v>
      </c>
      <c r="H167" s="1">
        <v>12</v>
      </c>
      <c r="I167" s="1">
        <v>2015</v>
      </c>
      <c r="J167" s="1">
        <v>193</v>
      </c>
      <c r="K167" s="1">
        <v>2</v>
      </c>
      <c r="O167" s="1" t="s">
        <v>3073</v>
      </c>
    </row>
    <row r="168" spans="1:16" ht="15.75" customHeight="1">
      <c r="A168" s="1" t="s">
        <v>0</v>
      </c>
      <c r="B168" s="1" t="s">
        <v>3143</v>
      </c>
      <c r="C168" s="1" t="s">
        <v>3144</v>
      </c>
      <c r="D168" s="1" t="s">
        <v>2022</v>
      </c>
      <c r="E168" s="1" t="s">
        <v>3145</v>
      </c>
      <c r="F168" s="1" t="s">
        <v>3146</v>
      </c>
      <c r="G168" s="1">
        <v>87</v>
      </c>
      <c r="H168" s="1">
        <v>12</v>
      </c>
      <c r="I168" s="1">
        <v>2015</v>
      </c>
      <c r="J168" s="1" t="s">
        <v>6</v>
      </c>
      <c r="K168" s="1">
        <v>61</v>
      </c>
      <c r="L168" s="1">
        <v>107</v>
      </c>
      <c r="M168" s="1">
        <v>133</v>
      </c>
      <c r="N168" s="1" t="s">
        <v>6</v>
      </c>
      <c r="O168" s="1" t="s">
        <v>6</v>
      </c>
      <c r="P168" s="1" t="s">
        <v>6</v>
      </c>
    </row>
    <row r="169" spans="1:16" ht="15.75" customHeight="1">
      <c r="A169" s="1" t="s">
        <v>0</v>
      </c>
      <c r="B169" s="1" t="s">
        <v>961</v>
      </c>
      <c r="C169" s="1" t="s">
        <v>962</v>
      </c>
      <c r="D169" s="1" t="s">
        <v>963</v>
      </c>
      <c r="E169" s="8" t="s">
        <v>7113</v>
      </c>
      <c r="F169" s="1" t="s">
        <v>964</v>
      </c>
      <c r="G169" s="1">
        <v>46</v>
      </c>
      <c r="H169" s="1">
        <v>11</v>
      </c>
      <c r="I169" s="1">
        <v>2015</v>
      </c>
      <c r="J169" s="1">
        <v>53</v>
      </c>
      <c r="K169" s="1">
        <v>2</v>
      </c>
      <c r="L169" s="1">
        <v>303</v>
      </c>
      <c r="M169" s="1">
        <v>320</v>
      </c>
      <c r="N169" s="1" t="s">
        <v>6</v>
      </c>
      <c r="O169" s="1" t="s">
        <v>965</v>
      </c>
      <c r="P169" s="3" t="str">
        <f>HYPERLINK("http://dx.doi.org/10.1111/imig.12077","http://dx.doi.org/10.1111/imig.12077")</f>
        <v>http://dx.doi.org/10.1111/imig.12077</v>
      </c>
    </row>
    <row r="170" spans="1:16" ht="15.75" customHeight="1">
      <c r="A170" s="1" t="s">
        <v>10</v>
      </c>
      <c r="B170" s="1" t="s">
        <v>583</v>
      </c>
      <c r="C170" s="1" t="s">
        <v>584</v>
      </c>
      <c r="D170" s="1" t="s">
        <v>585</v>
      </c>
      <c r="E170" s="1" t="s">
        <v>586</v>
      </c>
      <c r="F170" s="1" t="s">
        <v>587</v>
      </c>
      <c r="H170" s="1">
        <v>11</v>
      </c>
      <c r="I170" s="1">
        <v>2015</v>
      </c>
      <c r="J170" s="1">
        <v>53</v>
      </c>
      <c r="K170" s="1">
        <v>2</v>
      </c>
      <c r="O170" s="1" t="s">
        <v>588</v>
      </c>
    </row>
    <row r="171" spans="1:16" ht="15.75" customHeight="1">
      <c r="A171" s="1" t="s">
        <v>10</v>
      </c>
      <c r="B171" s="1" t="s">
        <v>6447</v>
      </c>
      <c r="C171" s="1" t="s">
        <v>6448</v>
      </c>
      <c r="D171" s="1" t="s">
        <v>6081</v>
      </c>
      <c r="E171" s="1" t="s">
        <v>6449</v>
      </c>
      <c r="F171" s="1" t="s">
        <v>6450</v>
      </c>
      <c r="H171" s="1">
        <v>10</v>
      </c>
      <c r="I171" s="1">
        <v>2015</v>
      </c>
      <c r="J171" s="1">
        <v>47</v>
      </c>
      <c r="O171" s="1" t="s">
        <v>6451</v>
      </c>
    </row>
    <row r="172" spans="1:16" ht="15.75" customHeight="1">
      <c r="A172" s="1" t="s">
        <v>0</v>
      </c>
      <c r="B172" s="1" t="s">
        <v>1660</v>
      </c>
      <c r="C172" s="1" t="s">
        <v>1661</v>
      </c>
      <c r="D172" s="1" t="s">
        <v>1662</v>
      </c>
      <c r="E172" s="1" t="s">
        <v>1663</v>
      </c>
      <c r="F172" s="1" t="s">
        <v>1664</v>
      </c>
      <c r="G172" s="1">
        <v>33</v>
      </c>
      <c r="H172" s="1">
        <v>10</v>
      </c>
      <c r="I172" s="1">
        <v>2015</v>
      </c>
      <c r="J172" s="1">
        <v>81</v>
      </c>
      <c r="K172" s="1">
        <v>1</v>
      </c>
      <c r="L172" s="1">
        <v>115</v>
      </c>
      <c r="M172" s="1">
        <v>155</v>
      </c>
      <c r="N172" s="1" t="s">
        <v>6</v>
      </c>
      <c r="O172" s="1" t="s">
        <v>1665</v>
      </c>
      <c r="P172" s="3" t="str">
        <f>HYPERLINK("http://dx.doi.org/10.1017/dem.2014.17","http://dx.doi.org/10.1017/dem.2014.17")</f>
        <v>http://dx.doi.org/10.1017/dem.2014.17</v>
      </c>
    </row>
    <row r="173" spans="1:16" ht="15.75" customHeight="1">
      <c r="A173" s="1" t="s">
        <v>10</v>
      </c>
      <c r="B173" s="1" t="s">
        <v>6687</v>
      </c>
      <c r="C173" s="1" t="s">
        <v>6688</v>
      </c>
      <c r="D173" s="1" t="s">
        <v>596</v>
      </c>
      <c r="E173" s="1" t="s">
        <v>6689</v>
      </c>
      <c r="F173" s="1" t="s">
        <v>6690</v>
      </c>
      <c r="H173" s="1">
        <v>9</v>
      </c>
      <c r="I173" s="1">
        <v>2015</v>
      </c>
      <c r="J173" s="1">
        <v>38</v>
      </c>
      <c r="K173" s="1">
        <v>12</v>
      </c>
      <c r="O173" s="1" t="s">
        <v>6691</v>
      </c>
    </row>
    <row r="174" spans="1:16" ht="15.75" customHeight="1">
      <c r="A174" s="1" t="s">
        <v>10</v>
      </c>
      <c r="B174" s="1" t="s">
        <v>6662</v>
      </c>
      <c r="C174" s="1" t="s">
        <v>6663</v>
      </c>
      <c r="D174" s="1" t="s">
        <v>6664</v>
      </c>
      <c r="E174" s="1" t="s">
        <v>6665</v>
      </c>
      <c r="F174" s="1" t="s">
        <v>6666</v>
      </c>
      <c r="H174" s="1">
        <v>8</v>
      </c>
      <c r="I174" s="1">
        <v>2015</v>
      </c>
      <c r="J174" s="1">
        <v>31</v>
      </c>
      <c r="K174" s="1">
        <v>1</v>
      </c>
    </row>
    <row r="175" spans="1:16" ht="15.75" customHeight="1">
      <c r="A175" s="1" t="s">
        <v>10</v>
      </c>
      <c r="B175" s="1" t="s">
        <v>3545</v>
      </c>
      <c r="C175" s="1" t="s">
        <v>3546</v>
      </c>
      <c r="D175" s="2" t="s">
        <v>3547</v>
      </c>
      <c r="E175" s="1" t="s">
        <v>3548</v>
      </c>
      <c r="F175" s="1" t="s">
        <v>3549</v>
      </c>
      <c r="H175" s="1">
        <v>8</v>
      </c>
      <c r="I175" s="1">
        <v>2015</v>
      </c>
      <c r="J175" s="1">
        <v>2015</v>
      </c>
      <c r="K175" s="1">
        <v>28</v>
      </c>
      <c r="O175" s="1" t="s">
        <v>3550</v>
      </c>
    </row>
    <row r="176" spans="1:16" ht="15.75" customHeight="1">
      <c r="A176" s="1" t="s">
        <v>10</v>
      </c>
      <c r="B176" s="1" t="s">
        <v>1982</v>
      </c>
      <c r="C176" s="1" t="s">
        <v>1983</v>
      </c>
      <c r="D176" s="1" t="s">
        <v>1726</v>
      </c>
      <c r="E176" s="1" t="s">
        <v>1984</v>
      </c>
      <c r="F176" s="1" t="s">
        <v>1985</v>
      </c>
      <c r="H176" s="1">
        <v>8</v>
      </c>
      <c r="I176" s="1">
        <v>2015</v>
      </c>
      <c r="J176" s="1">
        <v>59</v>
      </c>
      <c r="O176" s="1" t="s">
        <v>1986</v>
      </c>
    </row>
    <row r="177" spans="1:16" ht="15.75" customHeight="1">
      <c r="A177" s="1" t="s">
        <v>10</v>
      </c>
      <c r="B177" s="1" t="s">
        <v>1055</v>
      </c>
      <c r="C177" s="1" t="s">
        <v>1056</v>
      </c>
      <c r="D177" s="1" t="s">
        <v>1057</v>
      </c>
      <c r="E177" s="1" t="s">
        <v>1058</v>
      </c>
      <c r="F177" s="1" t="s">
        <v>1059</v>
      </c>
      <c r="H177" s="1">
        <v>7</v>
      </c>
      <c r="I177" s="1">
        <v>2015</v>
      </c>
      <c r="J177" s="1">
        <v>24</v>
      </c>
      <c r="K177" s="1">
        <v>9</v>
      </c>
      <c r="O177" s="1" t="s">
        <v>1060</v>
      </c>
    </row>
    <row r="178" spans="1:16" ht="15.75" customHeight="1">
      <c r="A178" s="1" t="s">
        <v>10</v>
      </c>
      <c r="B178" s="1" t="s">
        <v>4570</v>
      </c>
      <c r="C178" s="1" t="s">
        <v>4571</v>
      </c>
      <c r="D178" s="1" t="s">
        <v>727</v>
      </c>
      <c r="E178" s="1" t="s">
        <v>4572</v>
      </c>
      <c r="F178" s="1" t="s">
        <v>4573</v>
      </c>
      <c r="H178" s="1">
        <v>5</v>
      </c>
      <c r="I178" s="1">
        <v>2015</v>
      </c>
      <c r="J178" s="1">
        <v>21</v>
      </c>
      <c r="K178" s="1">
        <v>1</v>
      </c>
    </row>
    <row r="179" spans="1:16" ht="15.75" customHeight="1">
      <c r="A179" s="1" t="s">
        <v>0</v>
      </c>
      <c r="B179" s="1" t="s">
        <v>6780</v>
      </c>
      <c r="C179" s="1" t="s">
        <v>6781</v>
      </c>
      <c r="D179" s="1" t="s">
        <v>6782</v>
      </c>
      <c r="E179" s="1" t="s">
        <v>6783</v>
      </c>
      <c r="F179" s="1" t="s">
        <v>6784</v>
      </c>
      <c r="G179" s="1">
        <v>29</v>
      </c>
      <c r="H179" s="1">
        <v>5</v>
      </c>
      <c r="I179" s="1">
        <v>2015</v>
      </c>
      <c r="J179" s="1">
        <v>23</v>
      </c>
      <c r="K179" s="1" t="s">
        <v>955</v>
      </c>
    </row>
    <row r="180" spans="1:16" ht="15.75" customHeight="1">
      <c r="A180" s="1" t="s">
        <v>0</v>
      </c>
      <c r="B180" s="1" t="s">
        <v>3949</v>
      </c>
      <c r="C180" s="1" t="s">
        <v>3950</v>
      </c>
      <c r="D180" s="1" t="s">
        <v>3951</v>
      </c>
      <c r="E180" s="1" t="s">
        <v>3952</v>
      </c>
      <c r="F180" s="1" t="s">
        <v>3953</v>
      </c>
      <c r="G180" s="1">
        <v>44</v>
      </c>
      <c r="H180" s="1">
        <v>4</v>
      </c>
      <c r="I180" s="1">
        <v>2015</v>
      </c>
      <c r="J180" s="1">
        <v>103</v>
      </c>
      <c r="K180" s="1">
        <v>3</v>
      </c>
      <c r="L180" s="1" t="s">
        <v>6</v>
      </c>
      <c r="M180" s="1" t="s">
        <v>6</v>
      </c>
      <c r="N180" s="1" t="s">
        <v>6</v>
      </c>
      <c r="O180" s="1" t="s">
        <v>3954</v>
      </c>
      <c r="P180" s="3" t="str">
        <f>HYPERLINK("http://dx.doi.org/10.4000/rga.2988","http://dx.doi.org/10.4000/rga.2988")</f>
        <v>http://dx.doi.org/10.4000/rga.2988</v>
      </c>
    </row>
    <row r="181" spans="1:16" ht="15.75" customHeight="1">
      <c r="A181" s="1" t="s">
        <v>0</v>
      </c>
      <c r="B181" s="1" t="s">
        <v>5823</v>
      </c>
      <c r="C181" s="1" t="s">
        <v>5828</v>
      </c>
      <c r="D181" s="1" t="s">
        <v>5829</v>
      </c>
      <c r="E181" s="1" t="s">
        <v>5830</v>
      </c>
      <c r="F181" s="1" t="s">
        <v>5831</v>
      </c>
      <c r="G181" s="1">
        <v>47</v>
      </c>
      <c r="H181" s="1">
        <v>4</v>
      </c>
      <c r="I181" s="1">
        <v>2015</v>
      </c>
      <c r="J181" s="1">
        <v>94</v>
      </c>
      <c r="K181" s="1" t="s">
        <v>61</v>
      </c>
    </row>
    <row r="182" spans="1:16" ht="15.75" customHeight="1">
      <c r="A182" s="1" t="s">
        <v>0</v>
      </c>
      <c r="B182" s="1" t="s">
        <v>6667</v>
      </c>
      <c r="C182" s="2" t="s">
        <v>6668</v>
      </c>
      <c r="D182" s="1" t="s">
        <v>696</v>
      </c>
      <c r="E182" s="1" t="s">
        <v>6669</v>
      </c>
      <c r="F182" s="1" t="s">
        <v>6670</v>
      </c>
      <c r="G182" s="1">
        <v>55</v>
      </c>
      <c r="H182" s="1">
        <v>4</v>
      </c>
      <c r="I182" s="1">
        <v>2015</v>
      </c>
      <c r="J182" s="1">
        <v>14</v>
      </c>
      <c r="K182" s="1">
        <v>5</v>
      </c>
      <c r="L182" s="1">
        <v>1667</v>
      </c>
      <c r="M182" s="1">
        <v>1679</v>
      </c>
      <c r="N182" s="1" t="s">
        <v>6</v>
      </c>
      <c r="O182" s="1" t="s">
        <v>6671</v>
      </c>
      <c r="P182" s="3" t="str">
        <f>HYPERLINK("http://dx.doi.org/10.11144/Javeriana.up14-5.grie","http://dx.doi.org/10.11144/Javeriana.up14-5.grie")</f>
        <v>http://dx.doi.org/10.11144/Javeriana.up14-5.grie</v>
      </c>
    </row>
    <row r="183" spans="1:16" ht="15.75" customHeight="1">
      <c r="A183" s="1" t="s">
        <v>0</v>
      </c>
      <c r="B183" s="1" t="s">
        <v>5059</v>
      </c>
      <c r="C183" s="1" t="s">
        <v>5060</v>
      </c>
      <c r="D183" s="1" t="s">
        <v>4677</v>
      </c>
      <c r="E183" s="1" t="s">
        <v>5061</v>
      </c>
      <c r="F183" s="1" t="s">
        <v>5062</v>
      </c>
      <c r="G183" s="1">
        <v>27</v>
      </c>
      <c r="H183" s="1">
        <v>4</v>
      </c>
      <c r="I183" s="1">
        <v>2015</v>
      </c>
      <c r="K183" s="1" t="s">
        <v>5063</v>
      </c>
    </row>
    <row r="184" spans="1:16" ht="15.75" customHeight="1">
      <c r="A184" s="1" t="s">
        <v>0</v>
      </c>
      <c r="B184" s="1" t="s">
        <v>1043</v>
      </c>
      <c r="C184" s="1" t="s">
        <v>1044</v>
      </c>
      <c r="D184" s="1" t="s">
        <v>1045</v>
      </c>
      <c r="E184" s="1" t="s">
        <v>1046</v>
      </c>
      <c r="F184" s="1" t="s">
        <v>1047</v>
      </c>
      <c r="G184" s="1">
        <v>48</v>
      </c>
      <c r="H184" s="1">
        <v>3</v>
      </c>
      <c r="I184" s="1">
        <v>2015</v>
      </c>
      <c r="J184" s="1">
        <v>43</v>
      </c>
      <c r="K184" s="1">
        <v>6</v>
      </c>
      <c r="L184" s="1">
        <v>1021</v>
      </c>
      <c r="M184" s="1">
        <v>1034</v>
      </c>
      <c r="N184" s="1" t="s">
        <v>6</v>
      </c>
      <c r="O184" s="1" t="s">
        <v>1048</v>
      </c>
      <c r="P184" s="3" t="str">
        <f>HYPERLINK("http://dx.doi.org/10.2224/sbp.2015.43.6.1021","http://dx.doi.org/10.2224/sbp.2015.43.6.1021")</f>
        <v>http://dx.doi.org/10.2224/sbp.2015.43.6.1021</v>
      </c>
    </row>
    <row r="185" spans="1:16" ht="15.75" customHeight="1">
      <c r="A185" s="1" t="s">
        <v>0</v>
      </c>
      <c r="B185" s="1" t="s">
        <v>4377</v>
      </c>
      <c r="C185" s="1" t="s">
        <v>4378</v>
      </c>
      <c r="D185" s="1" t="s">
        <v>4379</v>
      </c>
      <c r="E185" s="1" t="s">
        <v>4380</v>
      </c>
      <c r="F185" s="1" t="s">
        <v>4381</v>
      </c>
      <c r="G185" s="1">
        <v>54</v>
      </c>
      <c r="H185" s="1">
        <v>3</v>
      </c>
      <c r="I185" s="1">
        <v>2015</v>
      </c>
      <c r="J185" s="1">
        <v>42</v>
      </c>
      <c r="K185" s="1" t="s">
        <v>6</v>
      </c>
      <c r="L185" s="1">
        <v>123</v>
      </c>
      <c r="M185" s="1">
        <v>135</v>
      </c>
      <c r="N185" s="1" t="s">
        <v>6</v>
      </c>
      <c r="O185" s="1" t="s">
        <v>4382</v>
      </c>
      <c r="P185" s="3" t="str">
        <f>HYPERLINK("http://dx.doi.org/10.1016/j.rssm.2015.09.003","http://dx.doi.org/10.1016/j.rssm.2015.09.003")</f>
        <v>http://dx.doi.org/10.1016/j.rssm.2015.09.003</v>
      </c>
    </row>
    <row r="186" spans="1:16" ht="15.75" customHeight="1">
      <c r="A186" s="1" t="s">
        <v>0</v>
      </c>
      <c r="B186" s="1" t="s">
        <v>4002</v>
      </c>
      <c r="C186" s="1" t="s">
        <v>4003</v>
      </c>
      <c r="D186" s="1" t="s">
        <v>4004</v>
      </c>
      <c r="E186" s="8" t="s">
        <v>7123</v>
      </c>
      <c r="F186" s="1" t="s">
        <v>4005</v>
      </c>
      <c r="G186" s="1">
        <v>74</v>
      </c>
      <c r="H186" s="1">
        <v>2</v>
      </c>
      <c r="I186" s="1">
        <v>2015</v>
      </c>
      <c r="J186" s="1" t="s">
        <v>6</v>
      </c>
      <c r="K186" s="1">
        <v>25</v>
      </c>
      <c r="L186" s="1">
        <v>105</v>
      </c>
      <c r="M186" s="1" t="s">
        <v>1395</v>
      </c>
      <c r="N186" s="1" t="s">
        <v>6</v>
      </c>
      <c r="O186" s="1" t="s">
        <v>6</v>
      </c>
      <c r="P186" s="1" t="s">
        <v>6</v>
      </c>
    </row>
    <row r="187" spans="1:16" ht="15.75" customHeight="1">
      <c r="A187" s="1" t="s">
        <v>0</v>
      </c>
      <c r="B187" s="1" t="s">
        <v>6638</v>
      </c>
      <c r="C187" s="1" t="s">
        <v>6639</v>
      </c>
      <c r="D187" s="1" t="s">
        <v>52</v>
      </c>
      <c r="E187" s="1" t="s">
        <v>6640</v>
      </c>
      <c r="F187" s="1" t="s">
        <v>6641</v>
      </c>
      <c r="G187" s="1">
        <v>26</v>
      </c>
      <c r="H187" s="1">
        <v>2</v>
      </c>
      <c r="I187" s="1">
        <v>2015</v>
      </c>
      <c r="J187" s="1">
        <v>14</v>
      </c>
      <c r="K187" s="1" t="s">
        <v>3604</v>
      </c>
    </row>
    <row r="188" spans="1:16" ht="15.75" customHeight="1">
      <c r="A188" s="1" t="s">
        <v>10</v>
      </c>
      <c r="B188" s="1" t="s">
        <v>1845</v>
      </c>
      <c r="C188" s="1" t="s">
        <v>1846</v>
      </c>
      <c r="D188" s="1" t="s">
        <v>1847</v>
      </c>
      <c r="F188" s="1" t="s">
        <v>1848</v>
      </c>
      <c r="H188" s="1">
        <v>2</v>
      </c>
      <c r="I188" s="1">
        <v>2015</v>
      </c>
      <c r="J188" s="1">
        <v>31</v>
      </c>
      <c r="K188" s="1">
        <v>2</v>
      </c>
    </row>
    <row r="189" spans="1:16" ht="15.75" customHeight="1">
      <c r="A189" s="1" t="s">
        <v>463</v>
      </c>
      <c r="B189" s="1" t="s">
        <v>1741</v>
      </c>
      <c r="C189" s="1" t="s">
        <v>1742</v>
      </c>
      <c r="D189" s="1" t="s">
        <v>1743</v>
      </c>
      <c r="E189" s="1" t="s">
        <v>1744</v>
      </c>
      <c r="F189" s="1" t="s">
        <v>1745</v>
      </c>
      <c r="H189" s="1">
        <v>1</v>
      </c>
      <c r="I189" s="1">
        <v>2015</v>
      </c>
      <c r="O189" s="1" t="s">
        <v>1746</v>
      </c>
    </row>
    <row r="190" spans="1:16" ht="15.75" customHeight="1">
      <c r="A190" s="1" t="s">
        <v>10</v>
      </c>
      <c r="B190" s="1" t="s">
        <v>1942</v>
      </c>
      <c r="C190" s="1" t="s">
        <v>1943</v>
      </c>
      <c r="D190" s="1" t="s">
        <v>1528</v>
      </c>
      <c r="E190" s="1" t="s">
        <v>1944</v>
      </c>
      <c r="F190" s="1" t="s">
        <v>1945</v>
      </c>
      <c r="H190" s="1">
        <v>1</v>
      </c>
      <c r="I190" s="1">
        <v>2015</v>
      </c>
      <c r="J190" s="1">
        <v>2015</v>
      </c>
      <c r="K190" s="1">
        <v>22</v>
      </c>
      <c r="O190" s="1" t="s">
        <v>1946</v>
      </c>
    </row>
    <row r="191" spans="1:16" ht="15.75" customHeight="1">
      <c r="A191" s="1" t="s">
        <v>0</v>
      </c>
      <c r="B191" s="1" t="s">
        <v>5777</v>
      </c>
      <c r="C191" s="1" t="s">
        <v>5778</v>
      </c>
      <c r="D191" s="1" t="s">
        <v>1021</v>
      </c>
      <c r="E191" s="1" t="s">
        <v>5779</v>
      </c>
      <c r="F191" s="1" t="s">
        <v>5780</v>
      </c>
      <c r="G191" s="1">
        <v>22</v>
      </c>
      <c r="H191" s="1">
        <v>1</v>
      </c>
      <c r="I191" s="1">
        <v>2015</v>
      </c>
      <c r="J191" s="1" t="s">
        <v>6</v>
      </c>
      <c r="K191" s="1">
        <v>512</v>
      </c>
      <c r="L191" s="1">
        <v>113</v>
      </c>
      <c r="M191" s="1">
        <v>136</v>
      </c>
      <c r="N191" s="1" t="s">
        <v>6</v>
      </c>
      <c r="O191" s="1" t="s">
        <v>6</v>
      </c>
      <c r="P191" s="1" t="s">
        <v>6</v>
      </c>
    </row>
    <row r="192" spans="1:16" ht="15.75" customHeight="1">
      <c r="A192" s="1" t="s">
        <v>10</v>
      </c>
      <c r="B192" s="1" t="s">
        <v>3063</v>
      </c>
      <c r="C192" s="1" t="s">
        <v>3064</v>
      </c>
      <c r="D192" s="1" t="s">
        <v>792</v>
      </c>
      <c r="E192" s="1" t="s">
        <v>3065</v>
      </c>
      <c r="F192" s="1" t="s">
        <v>3066</v>
      </c>
      <c r="H192" s="1">
        <v>1</v>
      </c>
      <c r="I192" s="1">
        <v>2015</v>
      </c>
      <c r="J192" s="1">
        <v>2015</v>
      </c>
      <c r="K192" s="1">
        <v>52</v>
      </c>
      <c r="O192" s="1" t="s">
        <v>3067</v>
      </c>
    </row>
    <row r="193" spans="1:16" ht="15.75" customHeight="1">
      <c r="A193" s="1" t="s">
        <v>10</v>
      </c>
      <c r="B193" s="1" t="s">
        <v>1818</v>
      </c>
      <c r="C193" s="1" t="s">
        <v>1819</v>
      </c>
      <c r="D193" s="1" t="s">
        <v>1820</v>
      </c>
      <c r="E193" s="1" t="s">
        <v>1821</v>
      </c>
      <c r="F193" s="1" t="s">
        <v>1822</v>
      </c>
      <c r="H193" s="1">
        <v>1</v>
      </c>
      <c r="I193" s="1">
        <v>2015</v>
      </c>
      <c r="J193" s="1">
        <v>18</v>
      </c>
      <c r="K193" s="1">
        <v>1</v>
      </c>
    </row>
    <row r="194" spans="1:16" ht="15.75" customHeight="1">
      <c r="A194" s="1" t="s">
        <v>0</v>
      </c>
      <c r="B194" s="1" t="s">
        <v>3706</v>
      </c>
      <c r="C194" s="1" t="s">
        <v>3707</v>
      </c>
      <c r="D194" s="1" t="s">
        <v>3708</v>
      </c>
      <c r="E194" s="1" t="s">
        <v>3709</v>
      </c>
      <c r="F194" s="1" t="s">
        <v>3710</v>
      </c>
      <c r="G194" s="1">
        <v>13</v>
      </c>
      <c r="H194" s="1">
        <v>1</v>
      </c>
      <c r="I194" s="1">
        <v>2015</v>
      </c>
      <c r="J194" s="1">
        <v>12</v>
      </c>
      <c r="K194" s="1" t="s">
        <v>61</v>
      </c>
    </row>
    <row r="195" spans="1:16" ht="15.75" customHeight="1">
      <c r="A195" s="1" t="s">
        <v>0</v>
      </c>
      <c r="B195" s="1" t="s">
        <v>6350</v>
      </c>
      <c r="C195" s="1" t="s">
        <v>6351</v>
      </c>
      <c r="D195" s="1" t="s">
        <v>201</v>
      </c>
      <c r="E195" s="1" t="s">
        <v>6352</v>
      </c>
      <c r="F195" s="1" t="s">
        <v>6353</v>
      </c>
      <c r="G195" s="1">
        <v>82</v>
      </c>
      <c r="H195" s="1">
        <v>0</v>
      </c>
      <c r="I195" s="1">
        <v>2015</v>
      </c>
      <c r="J195" s="1" t="s">
        <v>6</v>
      </c>
      <c r="K195" s="1">
        <v>50</v>
      </c>
      <c r="L195" s="1">
        <v>195</v>
      </c>
      <c r="M195" s="1">
        <v>213</v>
      </c>
      <c r="N195" s="1" t="s">
        <v>6</v>
      </c>
      <c r="O195" s="1" t="s">
        <v>6</v>
      </c>
      <c r="P195" s="1" t="s">
        <v>6</v>
      </c>
    </row>
    <row r="196" spans="1:16" ht="15.75" customHeight="1">
      <c r="A196" s="1" t="s">
        <v>10</v>
      </c>
      <c r="B196" s="1" t="s">
        <v>6492</v>
      </c>
      <c r="C196" s="1" t="s">
        <v>6493</v>
      </c>
      <c r="D196" s="1" t="s">
        <v>6494</v>
      </c>
      <c r="E196" s="1" t="s">
        <v>6495</v>
      </c>
      <c r="F196" s="1" t="s">
        <v>6496</v>
      </c>
      <c r="H196" s="1">
        <v>0</v>
      </c>
      <c r="I196" s="1">
        <v>2015</v>
      </c>
      <c r="J196" s="1">
        <v>29</v>
      </c>
      <c r="K196" s="1" t="s">
        <v>6497</v>
      </c>
    </row>
    <row r="197" spans="1:16" ht="15.75" customHeight="1">
      <c r="A197" s="1" t="s">
        <v>0</v>
      </c>
      <c r="B197" s="1" t="s">
        <v>4555</v>
      </c>
      <c r="C197" s="1" t="s">
        <v>4556</v>
      </c>
      <c r="D197" s="1" t="s">
        <v>58</v>
      </c>
      <c r="E197" s="1" t="s">
        <v>4557</v>
      </c>
      <c r="F197" s="1" t="s">
        <v>4558</v>
      </c>
      <c r="G197" s="1">
        <v>26</v>
      </c>
      <c r="H197" s="1">
        <v>0</v>
      </c>
      <c r="I197" s="1">
        <v>2015</v>
      </c>
      <c r="J197" s="1">
        <v>15</v>
      </c>
      <c r="K197" s="1" t="s">
        <v>378</v>
      </c>
    </row>
    <row r="198" spans="1:16" ht="15.75" customHeight="1">
      <c r="A198" s="1" t="s">
        <v>0</v>
      </c>
      <c r="B198" s="1" t="s">
        <v>6407</v>
      </c>
      <c r="C198" s="1" t="s">
        <v>6408</v>
      </c>
      <c r="D198" s="1" t="s">
        <v>6409</v>
      </c>
      <c r="E198" s="1" t="s">
        <v>6410</v>
      </c>
      <c r="F198" s="1" t="s">
        <v>6411</v>
      </c>
      <c r="G198" s="1">
        <v>48</v>
      </c>
      <c r="H198" s="1">
        <v>0</v>
      </c>
      <c r="I198" s="1">
        <v>2015</v>
      </c>
      <c r="J198" s="1" t="s">
        <v>6</v>
      </c>
      <c r="K198" s="1">
        <v>63</v>
      </c>
      <c r="L198" s="1">
        <v>127</v>
      </c>
      <c r="M198" s="1">
        <v>162</v>
      </c>
      <c r="N198" s="1" t="s">
        <v>6</v>
      </c>
      <c r="O198" s="1" t="s">
        <v>6</v>
      </c>
      <c r="P198" s="1" t="s">
        <v>6</v>
      </c>
    </row>
    <row r="199" spans="1:16" ht="15.75" customHeight="1">
      <c r="A199" s="1" t="s">
        <v>0</v>
      </c>
      <c r="B199" s="1" t="s">
        <v>6263</v>
      </c>
      <c r="C199" s="1" t="s">
        <v>6264</v>
      </c>
      <c r="D199" s="1" t="s">
        <v>4581</v>
      </c>
      <c r="E199" s="1" t="s">
        <v>6265</v>
      </c>
      <c r="F199" s="1" t="s">
        <v>6266</v>
      </c>
      <c r="G199" s="1">
        <v>25</v>
      </c>
      <c r="H199" s="1">
        <v>73</v>
      </c>
      <c r="I199" s="1">
        <v>2016</v>
      </c>
      <c r="J199" s="1">
        <v>48</v>
      </c>
      <c r="K199" s="1" t="s">
        <v>6267</v>
      </c>
      <c r="O199" s="1" t="s">
        <v>6268</v>
      </c>
    </row>
    <row r="200" spans="1:16" ht="15.75" customHeight="1">
      <c r="A200" s="1" t="s">
        <v>0</v>
      </c>
      <c r="B200" s="1" t="s">
        <v>3257</v>
      </c>
      <c r="C200" s="1" t="s">
        <v>3258</v>
      </c>
      <c r="D200" s="1" t="s">
        <v>952</v>
      </c>
      <c r="E200" s="1" t="s">
        <v>3259</v>
      </c>
      <c r="F200" s="1" t="s">
        <v>3260</v>
      </c>
      <c r="G200" s="1">
        <v>78</v>
      </c>
      <c r="H200" s="1">
        <v>63</v>
      </c>
      <c r="I200" s="1">
        <v>2016</v>
      </c>
      <c r="J200" s="1">
        <v>0</v>
      </c>
      <c r="K200" s="1" t="s">
        <v>3261</v>
      </c>
    </row>
    <row r="201" spans="1:16" ht="15.75" customHeight="1">
      <c r="A201" s="1" t="s">
        <v>10</v>
      </c>
      <c r="B201" s="1" t="s">
        <v>846</v>
      </c>
      <c r="C201" s="1" t="s">
        <v>847</v>
      </c>
      <c r="D201" s="1" t="s">
        <v>848</v>
      </c>
      <c r="F201" s="1" t="s">
        <v>849</v>
      </c>
      <c r="H201" s="1">
        <v>63</v>
      </c>
      <c r="I201" s="1">
        <v>2016</v>
      </c>
      <c r="J201" s="1">
        <v>54</v>
      </c>
      <c r="O201" s="1" t="s">
        <v>850</v>
      </c>
    </row>
    <row r="202" spans="1:16" ht="15.75" customHeight="1">
      <c r="A202" s="1" t="s">
        <v>10</v>
      </c>
      <c r="B202" s="1" t="s">
        <v>3711</v>
      </c>
      <c r="C202" s="1" t="s">
        <v>3712</v>
      </c>
      <c r="D202" s="1" t="s">
        <v>3182</v>
      </c>
      <c r="E202" s="1" t="s">
        <v>3713</v>
      </c>
      <c r="F202" s="1" t="s">
        <v>3714</v>
      </c>
      <c r="H202" s="1">
        <v>51</v>
      </c>
      <c r="I202" s="1">
        <v>2016</v>
      </c>
      <c r="J202" s="1">
        <v>37</v>
      </c>
      <c r="K202" s="1">
        <v>8</v>
      </c>
      <c r="O202" s="1" t="s">
        <v>3715</v>
      </c>
    </row>
    <row r="203" spans="1:16" ht="15.75" customHeight="1">
      <c r="A203" s="1" t="s">
        <v>0</v>
      </c>
      <c r="B203" s="1" t="s">
        <v>6169</v>
      </c>
      <c r="C203" s="1" t="s">
        <v>6170</v>
      </c>
      <c r="D203" s="1" t="s">
        <v>52</v>
      </c>
      <c r="E203" s="1" t="s">
        <v>6171</v>
      </c>
      <c r="F203" s="1" t="s">
        <v>6172</v>
      </c>
      <c r="G203" s="1">
        <v>30</v>
      </c>
      <c r="H203" s="1">
        <v>37</v>
      </c>
      <c r="I203" s="1">
        <v>2016</v>
      </c>
      <c r="J203" s="1">
        <v>15</v>
      </c>
      <c r="K203" s="1" t="s">
        <v>3618</v>
      </c>
    </row>
    <row r="204" spans="1:16" ht="15.75" customHeight="1">
      <c r="A204" s="1" t="s">
        <v>10</v>
      </c>
      <c r="B204" s="1" t="s">
        <v>6712</v>
      </c>
      <c r="C204" s="1" t="s">
        <v>6713</v>
      </c>
      <c r="D204" s="1" t="s">
        <v>848</v>
      </c>
      <c r="E204" s="1" t="s">
        <v>6714</v>
      </c>
      <c r="F204" s="1" t="s">
        <v>6715</v>
      </c>
      <c r="H204" s="1">
        <v>36</v>
      </c>
      <c r="I204" s="1">
        <v>2016</v>
      </c>
      <c r="J204" s="1">
        <v>54</v>
      </c>
      <c r="O204" s="1" t="s">
        <v>6716</v>
      </c>
    </row>
    <row r="205" spans="1:16" ht="15.75" customHeight="1">
      <c r="A205" s="1" t="s">
        <v>0</v>
      </c>
      <c r="B205" s="1" t="s">
        <v>3535</v>
      </c>
      <c r="C205" s="1" t="s">
        <v>3536</v>
      </c>
      <c r="D205" s="1" t="s">
        <v>1702</v>
      </c>
      <c r="E205" s="1" t="s">
        <v>3537</v>
      </c>
      <c r="F205" s="1" t="s">
        <v>3538</v>
      </c>
      <c r="G205" s="1">
        <v>44</v>
      </c>
      <c r="H205" s="1">
        <v>28</v>
      </c>
      <c r="I205" s="1">
        <v>2016</v>
      </c>
      <c r="J205" s="1">
        <v>15</v>
      </c>
      <c r="K205" s="1" t="s">
        <v>605</v>
      </c>
      <c r="O205" s="1" t="s">
        <v>3539</v>
      </c>
    </row>
    <row r="206" spans="1:16" ht="15.75" customHeight="1">
      <c r="A206" s="1" t="s">
        <v>10</v>
      </c>
      <c r="B206" s="1" t="s">
        <v>6988</v>
      </c>
      <c r="C206" s="1" t="s">
        <v>6989</v>
      </c>
      <c r="D206" s="2" t="s">
        <v>6196</v>
      </c>
      <c r="E206" s="1" t="s">
        <v>6990</v>
      </c>
      <c r="F206" s="1" t="s">
        <v>6991</v>
      </c>
      <c r="H206" s="1">
        <v>28</v>
      </c>
      <c r="I206" s="1">
        <v>2016</v>
      </c>
      <c r="J206" s="1">
        <v>42</v>
      </c>
      <c r="K206" s="1">
        <v>2</v>
      </c>
      <c r="O206" s="1" t="s">
        <v>6992</v>
      </c>
    </row>
    <row r="207" spans="1:16" ht="15.75" customHeight="1">
      <c r="A207" s="1" t="s">
        <v>0</v>
      </c>
      <c r="B207" s="1" t="s">
        <v>6517</v>
      </c>
      <c r="C207" s="1" t="s">
        <v>6518</v>
      </c>
      <c r="D207" s="1" t="s">
        <v>6519</v>
      </c>
      <c r="E207" s="1" t="s">
        <v>6520</v>
      </c>
      <c r="F207" s="1" t="s">
        <v>6521</v>
      </c>
      <c r="G207" s="1">
        <v>76</v>
      </c>
      <c r="H207" s="1">
        <v>26</v>
      </c>
      <c r="I207" s="1">
        <v>2016</v>
      </c>
      <c r="J207" s="1">
        <v>106</v>
      </c>
      <c r="K207" s="1">
        <v>3</v>
      </c>
      <c r="L207" s="1">
        <v>399</v>
      </c>
      <c r="M207" s="1">
        <v>420</v>
      </c>
      <c r="N207" s="1" t="s">
        <v>6</v>
      </c>
      <c r="O207" s="1" t="s">
        <v>6522</v>
      </c>
      <c r="P207" s="3" t="str">
        <f>HYPERLINK("http://dx.doi.org/10.1111/j.1931-0846.2016.12182.x","http://dx.doi.org/10.1111/j.1931-0846.2016.12182.x")</f>
        <v>http://dx.doi.org/10.1111/j.1931-0846.2016.12182.x</v>
      </c>
    </row>
    <row r="208" spans="1:16" ht="15.75" customHeight="1">
      <c r="A208" s="1" t="s">
        <v>10</v>
      </c>
      <c r="B208" s="1" t="s">
        <v>398</v>
      </c>
      <c r="C208" s="1" t="s">
        <v>399</v>
      </c>
      <c r="D208" s="1" t="s">
        <v>400</v>
      </c>
      <c r="E208" s="1" t="s">
        <v>401</v>
      </c>
      <c r="F208" s="1" t="s">
        <v>402</v>
      </c>
      <c r="H208" s="1">
        <v>23</v>
      </c>
      <c r="I208" s="1">
        <v>2016</v>
      </c>
      <c r="J208" s="1">
        <v>9</v>
      </c>
      <c r="O208" s="1" t="s">
        <v>403</v>
      </c>
    </row>
    <row r="209" spans="1:16" ht="15.75" customHeight="1">
      <c r="A209" s="1" t="s">
        <v>10</v>
      </c>
      <c r="B209" s="1" t="s">
        <v>4910</v>
      </c>
      <c r="C209" s="1" t="s">
        <v>4911</v>
      </c>
      <c r="D209" s="1" t="s">
        <v>479</v>
      </c>
      <c r="E209" s="1" t="s">
        <v>4912</v>
      </c>
      <c r="F209" s="1" t="s">
        <v>4913</v>
      </c>
      <c r="H209" s="1">
        <v>23</v>
      </c>
      <c r="I209" s="1">
        <v>2016</v>
      </c>
      <c r="J209" s="1">
        <v>50</v>
      </c>
      <c r="K209" s="1">
        <v>5</v>
      </c>
      <c r="O209" s="1" t="s">
        <v>4914</v>
      </c>
    </row>
    <row r="210" spans="1:16" ht="15.75" customHeight="1">
      <c r="A210" s="1" t="s">
        <v>0</v>
      </c>
      <c r="B210" s="1" t="s">
        <v>3423</v>
      </c>
      <c r="C210" s="1" t="s">
        <v>3424</v>
      </c>
      <c r="D210" s="1" t="s">
        <v>3425</v>
      </c>
      <c r="E210" s="1" t="s">
        <v>3426</v>
      </c>
      <c r="F210" s="1" t="s">
        <v>3427</v>
      </c>
      <c r="G210" s="1">
        <v>58</v>
      </c>
      <c r="H210" s="1">
        <v>22</v>
      </c>
      <c r="I210" s="1">
        <v>2016</v>
      </c>
      <c r="J210" s="1">
        <v>15</v>
      </c>
      <c r="K210" s="1" t="s">
        <v>378</v>
      </c>
      <c r="O210" s="1" t="s">
        <v>3428</v>
      </c>
    </row>
    <row r="211" spans="1:16" ht="15.75" customHeight="1">
      <c r="A211" s="1" t="s">
        <v>10</v>
      </c>
      <c r="B211" s="1" t="s">
        <v>4564</v>
      </c>
      <c r="C211" s="1" t="s">
        <v>4565</v>
      </c>
      <c r="D211" s="1" t="s">
        <v>4566</v>
      </c>
      <c r="E211" s="1" t="s">
        <v>4567</v>
      </c>
      <c r="F211" s="1" t="s">
        <v>4568</v>
      </c>
      <c r="H211" s="1">
        <v>21</v>
      </c>
      <c r="I211" s="1">
        <v>2016</v>
      </c>
      <c r="J211" s="1">
        <v>19</v>
      </c>
      <c r="K211" s="1">
        <v>1</v>
      </c>
      <c r="O211" s="1" t="s">
        <v>4569</v>
      </c>
    </row>
    <row r="212" spans="1:16" ht="15.75" customHeight="1">
      <c r="A212" s="1" t="s">
        <v>0</v>
      </c>
      <c r="B212" s="1" t="s">
        <v>483</v>
      </c>
      <c r="C212" s="1" t="s">
        <v>484</v>
      </c>
      <c r="D212" s="1" t="s">
        <v>264</v>
      </c>
      <c r="E212" s="1" t="s">
        <v>485</v>
      </c>
      <c r="F212" s="1" t="s">
        <v>486</v>
      </c>
      <c r="G212" s="1">
        <v>26</v>
      </c>
      <c r="H212" s="1">
        <v>21</v>
      </c>
      <c r="I212" s="1">
        <v>2016</v>
      </c>
      <c r="J212" s="1">
        <v>42</v>
      </c>
      <c r="K212" s="1">
        <v>3</v>
      </c>
      <c r="L212" s="1">
        <v>480</v>
      </c>
      <c r="M212" s="1">
        <v>502</v>
      </c>
      <c r="N212" s="1" t="s">
        <v>6</v>
      </c>
      <c r="O212" s="1" t="s">
        <v>487</v>
      </c>
      <c r="P212" s="3" t="str">
        <f>HYPERLINK("http://dx.doi.org/10.1080/1369183X.2015.1079122","http://dx.doi.org/10.1080/1369183X.2015.1079122")</f>
        <v>http://dx.doi.org/10.1080/1369183X.2015.1079122</v>
      </c>
    </row>
    <row r="213" spans="1:16" ht="15.75" customHeight="1">
      <c r="A213" s="1" t="s">
        <v>0</v>
      </c>
      <c r="B213" s="1" t="s">
        <v>7076</v>
      </c>
      <c r="C213" s="1" t="s">
        <v>7077</v>
      </c>
      <c r="D213" s="1" t="s">
        <v>206</v>
      </c>
      <c r="E213" s="1" t="s">
        <v>7078</v>
      </c>
      <c r="F213" s="1" t="s">
        <v>7079</v>
      </c>
      <c r="G213" s="1">
        <v>46</v>
      </c>
      <c r="H213" s="1">
        <v>16</v>
      </c>
      <c r="I213" s="1">
        <v>2016</v>
      </c>
      <c r="J213" s="1" t="s">
        <v>6</v>
      </c>
      <c r="K213" s="1">
        <v>55</v>
      </c>
      <c r="L213" s="1">
        <v>163</v>
      </c>
      <c r="M213" s="1">
        <v>176</v>
      </c>
      <c r="N213" s="1" t="s">
        <v>6</v>
      </c>
      <c r="O213" s="1" t="s">
        <v>7080</v>
      </c>
      <c r="P213" s="3" t="str">
        <f>HYPERLINK("http://dx.doi.org/10.7440/res55.2016.11","http://dx.doi.org/10.7440/res55.2016.11")</f>
        <v>http://dx.doi.org/10.7440/res55.2016.11</v>
      </c>
    </row>
    <row r="214" spans="1:16" ht="15.75" customHeight="1">
      <c r="A214" s="1" t="s">
        <v>10</v>
      </c>
      <c r="B214" s="1" t="s">
        <v>6916</v>
      </c>
      <c r="C214" s="1" t="s">
        <v>6917</v>
      </c>
      <c r="D214" s="1" t="s">
        <v>6918</v>
      </c>
      <c r="E214" s="1" t="s">
        <v>6919</v>
      </c>
      <c r="F214" s="1" t="s">
        <v>6920</v>
      </c>
      <c r="H214" s="1">
        <v>15</v>
      </c>
      <c r="I214" s="1">
        <v>2016</v>
      </c>
      <c r="J214" s="1">
        <v>11</v>
      </c>
      <c r="K214" s="1">
        <v>3</v>
      </c>
      <c r="O214" s="1" t="s">
        <v>6921</v>
      </c>
    </row>
    <row r="215" spans="1:16" ht="15.75" customHeight="1">
      <c r="A215" s="1" t="s">
        <v>10</v>
      </c>
      <c r="B215" s="1" t="s">
        <v>1791</v>
      </c>
      <c r="C215" s="1" t="s">
        <v>1792</v>
      </c>
      <c r="D215" s="1" t="s">
        <v>1793</v>
      </c>
      <c r="E215" s="1" t="s">
        <v>1794</v>
      </c>
      <c r="F215" s="1" t="s">
        <v>1795</v>
      </c>
      <c r="H215" s="1">
        <v>11</v>
      </c>
      <c r="I215" s="1">
        <v>2016</v>
      </c>
      <c r="J215" s="1">
        <v>14</v>
      </c>
      <c r="K215" s="1">
        <v>1</v>
      </c>
      <c r="O215" s="1" t="s">
        <v>1796</v>
      </c>
    </row>
    <row r="216" spans="1:16" ht="15.75" customHeight="1">
      <c r="A216" s="1" t="s">
        <v>10</v>
      </c>
      <c r="B216" s="1" t="s">
        <v>4692</v>
      </c>
      <c r="C216" s="1" t="s">
        <v>4693</v>
      </c>
      <c r="D216" s="1" t="s">
        <v>4694</v>
      </c>
      <c r="E216" s="1" t="s">
        <v>4695</v>
      </c>
      <c r="F216" s="1" t="s">
        <v>4696</v>
      </c>
      <c r="H216" s="1">
        <v>11</v>
      </c>
      <c r="I216" s="1">
        <v>2016</v>
      </c>
      <c r="J216" s="1">
        <v>59</v>
      </c>
      <c r="K216" s="1">
        <v>6</v>
      </c>
      <c r="O216" s="1" t="s">
        <v>4697</v>
      </c>
    </row>
    <row r="217" spans="1:16" ht="15.75" customHeight="1">
      <c r="A217" s="1" t="s">
        <v>10</v>
      </c>
      <c r="B217" s="1" t="s">
        <v>4451</v>
      </c>
      <c r="C217" s="1" t="s">
        <v>4452</v>
      </c>
      <c r="D217" s="1" t="s">
        <v>515</v>
      </c>
      <c r="E217" s="1" t="s">
        <v>4453</v>
      </c>
      <c r="F217" s="1" t="s">
        <v>4454</v>
      </c>
      <c r="H217" s="1">
        <v>10</v>
      </c>
      <c r="I217" s="1">
        <v>2016</v>
      </c>
      <c r="J217" s="1">
        <v>31</v>
      </c>
      <c r="K217" s="1">
        <v>2</v>
      </c>
      <c r="O217" s="1" t="s">
        <v>4455</v>
      </c>
    </row>
    <row r="218" spans="1:16" ht="15.75" customHeight="1">
      <c r="A218" s="1" t="s">
        <v>10</v>
      </c>
      <c r="B218" s="1" t="s">
        <v>2921</v>
      </c>
      <c r="C218" s="1" t="s">
        <v>2922</v>
      </c>
      <c r="D218" s="1" t="s">
        <v>76</v>
      </c>
      <c r="E218" s="1" t="s">
        <v>2923</v>
      </c>
      <c r="F218" s="1" t="s">
        <v>2924</v>
      </c>
      <c r="H218" s="1">
        <v>10</v>
      </c>
      <c r="I218" s="1">
        <v>2016</v>
      </c>
      <c r="J218" s="1">
        <v>29</v>
      </c>
      <c r="K218" s="1">
        <v>1</v>
      </c>
      <c r="O218" s="1" t="s">
        <v>2925</v>
      </c>
    </row>
    <row r="219" spans="1:16" ht="15.75" customHeight="1">
      <c r="A219" s="1" t="s">
        <v>0</v>
      </c>
      <c r="B219" s="1" t="s">
        <v>3926</v>
      </c>
      <c r="C219" s="1" t="s">
        <v>3927</v>
      </c>
      <c r="D219" s="1" t="s">
        <v>2339</v>
      </c>
      <c r="E219" s="1" t="s">
        <v>3928</v>
      </c>
      <c r="F219" s="1" t="s">
        <v>3929</v>
      </c>
      <c r="G219" s="1">
        <v>32</v>
      </c>
      <c r="H219" s="1">
        <v>10</v>
      </c>
      <c r="I219" s="1">
        <v>2016</v>
      </c>
      <c r="J219" s="1">
        <v>0</v>
      </c>
      <c r="K219" s="1" t="s">
        <v>3045</v>
      </c>
    </row>
    <row r="220" spans="1:16" ht="15.75" customHeight="1">
      <c r="A220" s="1" t="s">
        <v>0</v>
      </c>
      <c r="B220" s="1" t="s">
        <v>5746</v>
      </c>
      <c r="C220" s="1" t="s">
        <v>5752</v>
      </c>
      <c r="D220" s="1" t="s">
        <v>5753</v>
      </c>
      <c r="E220" s="1" t="s">
        <v>5754</v>
      </c>
      <c r="F220" s="1" t="s">
        <v>5755</v>
      </c>
      <c r="G220" s="1">
        <v>112</v>
      </c>
      <c r="H220" s="1">
        <v>9</v>
      </c>
      <c r="I220" s="1">
        <v>2016</v>
      </c>
      <c r="J220" s="1">
        <v>76</v>
      </c>
      <c r="K220" s="1" t="s">
        <v>6</v>
      </c>
      <c r="L220" s="1">
        <v>48</v>
      </c>
      <c r="M220" s="1">
        <v>58</v>
      </c>
      <c r="N220" s="1" t="s">
        <v>6</v>
      </c>
      <c r="O220" s="1" t="s">
        <v>5756</v>
      </c>
      <c r="P220" s="3" t="str">
        <f>HYPERLINK("http://dx.doi.org/10.1016/j.geoforum.2016.08.006","http://dx.doi.org/10.1016/j.geoforum.2016.08.006")</f>
        <v>http://dx.doi.org/10.1016/j.geoforum.2016.08.006</v>
      </c>
    </row>
    <row r="221" spans="1:16" ht="15.75" customHeight="1">
      <c r="A221" s="1" t="s">
        <v>0</v>
      </c>
      <c r="B221" s="1" t="s">
        <v>3101</v>
      </c>
      <c r="C221" s="1" t="s">
        <v>3102</v>
      </c>
      <c r="D221" s="1" t="s">
        <v>3103</v>
      </c>
      <c r="E221" s="1" t="s">
        <v>3104</v>
      </c>
      <c r="F221" s="1" t="s">
        <v>3105</v>
      </c>
      <c r="G221" s="1">
        <v>35</v>
      </c>
      <c r="H221" s="1">
        <v>8</v>
      </c>
      <c r="I221" s="1">
        <v>2016</v>
      </c>
      <c r="J221" s="1">
        <v>44</v>
      </c>
      <c r="K221" s="1" t="s">
        <v>6</v>
      </c>
      <c r="L221" s="1">
        <v>159</v>
      </c>
      <c r="M221" s="1">
        <v>178</v>
      </c>
      <c r="N221" s="1" t="s">
        <v>6</v>
      </c>
      <c r="O221" s="1" t="s">
        <v>3106</v>
      </c>
      <c r="P221" s="3" t="str">
        <f>HYPERLINK("http://dx.doi.org/10.1016/j.ejpoleco.2016.07.006","http://dx.doi.org/10.1016/j.ejpoleco.2016.07.006")</f>
        <v>http://dx.doi.org/10.1016/j.ejpoleco.2016.07.006</v>
      </c>
    </row>
    <row r="222" spans="1:16" ht="15.75" customHeight="1">
      <c r="A222" s="1" t="s">
        <v>10</v>
      </c>
      <c r="B222" s="1" t="s">
        <v>6473</v>
      </c>
      <c r="C222" s="1" t="s">
        <v>6474</v>
      </c>
      <c r="D222" s="1" t="s">
        <v>6475</v>
      </c>
      <c r="E222" s="1" t="s">
        <v>6476</v>
      </c>
      <c r="F222" s="1" t="s">
        <v>6477</v>
      </c>
      <c r="H222" s="1">
        <v>7</v>
      </c>
      <c r="I222" s="1">
        <v>2016</v>
      </c>
      <c r="J222" s="1">
        <v>25</v>
      </c>
      <c r="K222" s="1">
        <v>1</v>
      </c>
      <c r="O222" s="1" t="s">
        <v>6478</v>
      </c>
    </row>
    <row r="223" spans="1:16" ht="15.75" customHeight="1">
      <c r="A223" s="1" t="s">
        <v>0</v>
      </c>
      <c r="B223" s="1" t="s">
        <v>2739</v>
      </c>
      <c r="C223" s="1" t="s">
        <v>2740</v>
      </c>
      <c r="D223" s="1" t="s">
        <v>201</v>
      </c>
      <c r="E223" s="1" t="s">
        <v>2741</v>
      </c>
      <c r="F223" s="1" t="s">
        <v>2742</v>
      </c>
      <c r="G223" s="1">
        <v>72</v>
      </c>
      <c r="H223" s="1">
        <v>7</v>
      </c>
      <c r="I223" s="1">
        <v>2016</v>
      </c>
      <c r="J223" s="1" t="s">
        <v>6</v>
      </c>
      <c r="K223" s="1">
        <v>53</v>
      </c>
      <c r="L223" s="1">
        <v>159</v>
      </c>
      <c r="M223" s="1">
        <v>184</v>
      </c>
      <c r="N223" s="1" t="s">
        <v>6</v>
      </c>
      <c r="O223" s="1" t="s">
        <v>6</v>
      </c>
      <c r="P223" s="1" t="s">
        <v>6</v>
      </c>
    </row>
    <row r="224" spans="1:16" ht="15.75" customHeight="1">
      <c r="A224" s="1" t="s">
        <v>0</v>
      </c>
      <c r="B224" s="1" t="s">
        <v>6795</v>
      </c>
      <c r="C224" s="1" t="s">
        <v>6796</v>
      </c>
      <c r="D224" s="1" t="s">
        <v>282</v>
      </c>
      <c r="E224" s="1" t="s">
        <v>6797</v>
      </c>
      <c r="F224" s="1" t="s">
        <v>6798</v>
      </c>
      <c r="G224" s="1">
        <v>42</v>
      </c>
      <c r="H224" s="1">
        <v>6</v>
      </c>
      <c r="I224" s="1">
        <v>2016</v>
      </c>
      <c r="J224" s="1">
        <v>26</v>
      </c>
      <c r="K224" s="1" t="s">
        <v>61</v>
      </c>
    </row>
    <row r="225" spans="1:16" ht="15.75" customHeight="1">
      <c r="A225" s="1" t="s">
        <v>0</v>
      </c>
      <c r="B225" s="1" t="s">
        <v>2413</v>
      </c>
      <c r="C225" s="1" t="s">
        <v>2414</v>
      </c>
      <c r="D225" s="1" t="s">
        <v>195</v>
      </c>
      <c r="E225" s="1" t="s">
        <v>2415</v>
      </c>
      <c r="F225" s="1" t="s">
        <v>2416</v>
      </c>
      <c r="G225" s="1">
        <v>24</v>
      </c>
      <c r="H225" s="1">
        <v>4</v>
      </c>
      <c r="I225" s="1">
        <v>2016</v>
      </c>
      <c r="J225" s="1">
        <v>48</v>
      </c>
      <c r="K225" s="1">
        <v>3</v>
      </c>
      <c r="L225" s="1">
        <v>441</v>
      </c>
      <c r="M225" s="1">
        <v>451</v>
      </c>
      <c r="N225" s="1" t="s">
        <v>6</v>
      </c>
      <c r="O225" s="1" t="s">
        <v>2417</v>
      </c>
      <c r="P225" s="3" t="str">
        <f>HYPERLINK("http://dx.doi.org/10.4067/S0717-73562016005000010","http://dx.doi.org/10.4067/S0717-73562016005000010")</f>
        <v>http://dx.doi.org/10.4067/S0717-73562016005000010</v>
      </c>
    </row>
    <row r="226" spans="1:16" ht="15.75" customHeight="1">
      <c r="A226" s="1" t="s">
        <v>10</v>
      </c>
      <c r="B226" s="1" t="s">
        <v>1868</v>
      </c>
      <c r="C226" s="1" t="s">
        <v>1869</v>
      </c>
      <c r="D226" s="1" t="s">
        <v>1517</v>
      </c>
      <c r="F226" s="1" t="s">
        <v>1870</v>
      </c>
      <c r="H226" s="1">
        <v>4</v>
      </c>
      <c r="I226" s="1">
        <v>2016</v>
      </c>
      <c r="J226" s="1">
        <v>54</v>
      </c>
      <c r="K226" s="1">
        <v>6</v>
      </c>
      <c r="O226" s="1" t="s">
        <v>1871</v>
      </c>
    </row>
    <row r="227" spans="1:16" ht="15.75" customHeight="1">
      <c r="A227" s="1" t="s">
        <v>0</v>
      </c>
      <c r="B227" s="1" t="s">
        <v>1493</v>
      </c>
      <c r="C227" s="1" t="s">
        <v>1494</v>
      </c>
      <c r="D227" s="1" t="s">
        <v>1495</v>
      </c>
      <c r="E227" s="1" t="s">
        <v>1496</v>
      </c>
      <c r="F227" s="1" t="s">
        <v>1497</v>
      </c>
      <c r="G227" s="1">
        <v>71</v>
      </c>
      <c r="H227" s="1">
        <v>3</v>
      </c>
      <c r="I227" s="1">
        <v>2016</v>
      </c>
      <c r="J227" s="1">
        <v>49</v>
      </c>
      <c r="K227" s="1">
        <v>1</v>
      </c>
      <c r="L227" s="1">
        <v>87</v>
      </c>
      <c r="M227" s="1">
        <v>110</v>
      </c>
      <c r="N227" s="1" t="s">
        <v>6</v>
      </c>
      <c r="O227" s="1" t="s">
        <v>6</v>
      </c>
      <c r="P227" s="1" t="s">
        <v>6</v>
      </c>
    </row>
    <row r="228" spans="1:16" ht="15.75" customHeight="1">
      <c r="A228" s="1" t="s">
        <v>0</v>
      </c>
      <c r="B228" s="1" t="s">
        <v>2418</v>
      </c>
      <c r="C228" s="1" t="s">
        <v>2419</v>
      </c>
      <c r="D228" s="1" t="s">
        <v>963</v>
      </c>
      <c r="E228" s="8" t="s">
        <v>7120</v>
      </c>
      <c r="F228" s="1" t="s">
        <v>2420</v>
      </c>
      <c r="G228" s="1">
        <v>52</v>
      </c>
      <c r="H228" s="1">
        <v>2</v>
      </c>
      <c r="I228" s="1">
        <v>2016</v>
      </c>
      <c r="J228" s="1">
        <v>54</v>
      </c>
      <c r="K228" s="1">
        <v>4</v>
      </c>
      <c r="L228" s="1">
        <v>74</v>
      </c>
      <c r="M228" s="1">
        <v>86</v>
      </c>
      <c r="N228" s="1" t="s">
        <v>6</v>
      </c>
      <c r="O228" s="1" t="s">
        <v>2421</v>
      </c>
      <c r="P228" s="3" t="str">
        <f>HYPERLINK("http://dx.doi.org/10.1111/imig.12244","http://dx.doi.org/10.1111/imig.12244")</f>
        <v>http://dx.doi.org/10.1111/imig.12244</v>
      </c>
    </row>
    <row r="229" spans="1:16" ht="15.75" customHeight="1">
      <c r="A229" s="1" t="s">
        <v>10</v>
      </c>
      <c r="B229" s="1" t="s">
        <v>4036</v>
      </c>
      <c r="C229" s="1" t="s">
        <v>4037</v>
      </c>
      <c r="D229" s="1" t="s">
        <v>4038</v>
      </c>
      <c r="E229" s="1" t="s">
        <v>4039</v>
      </c>
      <c r="F229" s="1" t="s">
        <v>4040</v>
      </c>
      <c r="H229" s="1">
        <v>2</v>
      </c>
      <c r="I229" s="1">
        <v>2016</v>
      </c>
      <c r="J229" s="1">
        <v>21</v>
      </c>
      <c r="K229" s="1">
        <v>3</v>
      </c>
      <c r="O229" s="1" t="s">
        <v>4041</v>
      </c>
    </row>
    <row r="230" spans="1:16" ht="15.75" customHeight="1">
      <c r="A230" s="1" t="s">
        <v>10</v>
      </c>
      <c r="B230" s="1" t="s">
        <v>3322</v>
      </c>
      <c r="C230" s="1" t="s">
        <v>3323</v>
      </c>
      <c r="D230" s="1" t="s">
        <v>3324</v>
      </c>
      <c r="E230" s="1" t="s">
        <v>3325</v>
      </c>
      <c r="F230" s="1" t="s">
        <v>3326</v>
      </c>
      <c r="H230" s="1">
        <v>2</v>
      </c>
      <c r="I230" s="1">
        <v>2016</v>
      </c>
      <c r="J230" s="1">
        <v>22</v>
      </c>
      <c r="K230" s="1">
        <v>2</v>
      </c>
      <c r="O230" s="1" t="s">
        <v>3327</v>
      </c>
    </row>
    <row r="231" spans="1:16" ht="15.75" customHeight="1">
      <c r="A231" s="1" t="s">
        <v>0</v>
      </c>
      <c r="B231" s="1" t="s">
        <v>2343</v>
      </c>
      <c r="C231" s="1" t="s">
        <v>2344</v>
      </c>
      <c r="D231" s="1" t="s">
        <v>201</v>
      </c>
      <c r="E231" s="1" t="s">
        <v>2345</v>
      </c>
      <c r="F231" s="1" t="s">
        <v>2346</v>
      </c>
      <c r="G231" s="1">
        <v>80</v>
      </c>
      <c r="H231" s="1">
        <v>2</v>
      </c>
      <c r="I231" s="1">
        <v>2016</v>
      </c>
      <c r="J231" s="1" t="s">
        <v>6</v>
      </c>
      <c r="K231" s="1">
        <v>52</v>
      </c>
      <c r="L231" s="1">
        <v>153</v>
      </c>
      <c r="M231" s="1">
        <v>175</v>
      </c>
      <c r="N231" s="1" t="s">
        <v>6</v>
      </c>
      <c r="O231" s="1" t="s">
        <v>6</v>
      </c>
      <c r="P231" s="1" t="s">
        <v>6</v>
      </c>
    </row>
    <row r="232" spans="1:16" ht="15.75" customHeight="1">
      <c r="A232" s="1" t="s">
        <v>10</v>
      </c>
      <c r="B232" s="1" t="s">
        <v>4341</v>
      </c>
      <c r="C232" s="1" t="s">
        <v>4342</v>
      </c>
      <c r="D232" s="1" t="s">
        <v>4343</v>
      </c>
      <c r="E232" s="1" t="s">
        <v>4344</v>
      </c>
      <c r="F232" s="1" t="s">
        <v>4345</v>
      </c>
      <c r="H232" s="1">
        <v>1</v>
      </c>
      <c r="I232" s="1">
        <v>2016</v>
      </c>
      <c r="J232" s="1">
        <v>39</v>
      </c>
    </row>
    <row r="233" spans="1:16" ht="15.75" customHeight="1">
      <c r="A233" s="1" t="s">
        <v>10</v>
      </c>
      <c r="B233" s="1" t="s">
        <v>7036</v>
      </c>
      <c r="C233" s="1" t="s">
        <v>7037</v>
      </c>
      <c r="D233" s="1" t="s">
        <v>7038</v>
      </c>
      <c r="E233" s="1" t="s">
        <v>7039</v>
      </c>
      <c r="F233" s="1" t="s">
        <v>7040</v>
      </c>
      <c r="H233" s="1">
        <v>1</v>
      </c>
      <c r="I233" s="1">
        <v>2016</v>
      </c>
      <c r="J233" s="1">
        <v>13</v>
      </c>
      <c r="K233" s="1">
        <v>1</v>
      </c>
      <c r="O233" s="1" t="s">
        <v>7041</v>
      </c>
    </row>
    <row r="234" spans="1:16" ht="15.75" customHeight="1">
      <c r="A234" s="1" t="s">
        <v>0</v>
      </c>
      <c r="B234" s="1" t="s">
        <v>4128</v>
      </c>
      <c r="C234" s="1" t="s">
        <v>4129</v>
      </c>
      <c r="D234" s="1" t="s">
        <v>4130</v>
      </c>
      <c r="E234" s="1" t="s">
        <v>4131</v>
      </c>
      <c r="F234" s="1" t="s">
        <v>4132</v>
      </c>
      <c r="G234" s="1">
        <v>57</v>
      </c>
      <c r="H234" s="1">
        <v>1</v>
      </c>
      <c r="I234" s="1">
        <v>2016</v>
      </c>
      <c r="J234" s="1">
        <v>16</v>
      </c>
      <c r="K234" s="1" t="s">
        <v>4133</v>
      </c>
    </row>
    <row r="235" spans="1:16" ht="15.75" customHeight="1">
      <c r="A235" s="1" t="s">
        <v>0</v>
      </c>
      <c r="B235" s="1" t="s">
        <v>199</v>
      </c>
      <c r="C235" s="1" t="s">
        <v>200</v>
      </c>
      <c r="D235" s="1" t="s">
        <v>201</v>
      </c>
      <c r="E235" s="1" t="s">
        <v>202</v>
      </c>
      <c r="F235" s="1" t="s">
        <v>203</v>
      </c>
      <c r="G235" s="1">
        <v>41</v>
      </c>
      <c r="H235" s="1">
        <v>1</v>
      </c>
      <c r="I235" s="1">
        <v>2016</v>
      </c>
      <c r="J235" s="1" t="s">
        <v>6</v>
      </c>
      <c r="K235" s="1">
        <v>53</v>
      </c>
      <c r="L235" s="1">
        <v>205</v>
      </c>
      <c r="M235" s="1">
        <v>220</v>
      </c>
      <c r="N235" s="1" t="s">
        <v>6</v>
      </c>
      <c r="O235" s="1" t="s">
        <v>6</v>
      </c>
      <c r="P235" s="1" t="s">
        <v>6</v>
      </c>
    </row>
    <row r="236" spans="1:16" ht="15.75" customHeight="1">
      <c r="A236" s="1" t="s">
        <v>463</v>
      </c>
      <c r="B236" s="1" t="s">
        <v>4319</v>
      </c>
      <c r="C236" s="1" t="s">
        <v>4320</v>
      </c>
      <c r="D236" s="1" t="s">
        <v>4321</v>
      </c>
      <c r="E236" s="1" t="s">
        <v>4322</v>
      </c>
      <c r="F236" s="1" t="s">
        <v>4323</v>
      </c>
      <c r="H236" s="1">
        <v>0</v>
      </c>
      <c r="I236" s="1">
        <v>2016</v>
      </c>
    </row>
    <row r="237" spans="1:16" ht="15.75" customHeight="1">
      <c r="A237" s="1" t="s">
        <v>10</v>
      </c>
      <c r="B237" s="1" t="s">
        <v>2887</v>
      </c>
      <c r="C237" s="1" t="s">
        <v>2888</v>
      </c>
      <c r="D237" s="1" t="s">
        <v>2889</v>
      </c>
      <c r="E237" s="1" t="s">
        <v>2890</v>
      </c>
      <c r="F237" s="1" t="s">
        <v>2891</v>
      </c>
      <c r="H237" s="1">
        <v>0</v>
      </c>
      <c r="I237" s="1">
        <v>2016</v>
      </c>
      <c r="J237" s="1">
        <v>31</v>
      </c>
      <c r="K237" s="1">
        <v>3</v>
      </c>
      <c r="O237" s="1" t="s">
        <v>2892</v>
      </c>
    </row>
    <row r="238" spans="1:16" ht="15.75" customHeight="1">
      <c r="A238" s="1" t="s">
        <v>0</v>
      </c>
      <c r="B238" s="1" t="s">
        <v>5566</v>
      </c>
      <c r="C238" s="1" t="s">
        <v>5567</v>
      </c>
      <c r="D238" s="1" t="s">
        <v>2022</v>
      </c>
      <c r="E238" s="1" t="s">
        <v>5568</v>
      </c>
      <c r="F238" s="1" t="s">
        <v>5569</v>
      </c>
      <c r="G238" s="1">
        <v>40</v>
      </c>
      <c r="H238" s="1">
        <v>0</v>
      </c>
      <c r="I238" s="1">
        <v>2016</v>
      </c>
      <c r="J238" s="1" t="s">
        <v>6</v>
      </c>
      <c r="K238" s="1">
        <v>64</v>
      </c>
      <c r="L238" s="1">
        <v>187</v>
      </c>
      <c r="M238" s="1">
        <v>206</v>
      </c>
      <c r="N238" s="1" t="s">
        <v>6</v>
      </c>
      <c r="O238" s="1" t="s">
        <v>6</v>
      </c>
      <c r="P238" s="1" t="s">
        <v>6</v>
      </c>
    </row>
    <row r="239" spans="1:16" ht="15.75" customHeight="1">
      <c r="A239" s="1" t="s">
        <v>10</v>
      </c>
      <c r="B239" s="1" t="s">
        <v>7031</v>
      </c>
      <c r="C239" s="1" t="s">
        <v>7032</v>
      </c>
      <c r="D239" s="1" t="s">
        <v>2011</v>
      </c>
      <c r="E239" s="1" t="s">
        <v>7033</v>
      </c>
      <c r="F239" s="1" t="s">
        <v>7034</v>
      </c>
      <c r="H239" s="1">
        <v>96</v>
      </c>
      <c r="I239" s="1">
        <v>2017</v>
      </c>
      <c r="J239" s="1">
        <v>67</v>
      </c>
      <c r="O239" s="1" t="s">
        <v>7035</v>
      </c>
    </row>
    <row r="240" spans="1:16" ht="15.75" customHeight="1">
      <c r="A240" s="1" t="s">
        <v>10</v>
      </c>
      <c r="B240" s="1" t="s">
        <v>2449</v>
      </c>
      <c r="C240" s="1" t="s">
        <v>2450</v>
      </c>
      <c r="D240" s="1" t="s">
        <v>2451</v>
      </c>
      <c r="E240" s="1" t="s">
        <v>2452</v>
      </c>
      <c r="F240" s="1" t="s">
        <v>2453</v>
      </c>
      <c r="H240" s="1">
        <v>68</v>
      </c>
      <c r="I240" s="1">
        <v>2017</v>
      </c>
      <c r="J240" s="1">
        <v>65</v>
      </c>
      <c r="O240" s="1" t="s">
        <v>2454</v>
      </c>
    </row>
    <row r="241" spans="1:15" ht="15.75" customHeight="1">
      <c r="A241" s="1" t="s">
        <v>10</v>
      </c>
      <c r="B241" s="1" t="s">
        <v>3196</v>
      </c>
      <c r="C241" s="1" t="s">
        <v>3197</v>
      </c>
      <c r="D241" s="1" t="s">
        <v>1702</v>
      </c>
      <c r="E241" s="1" t="s">
        <v>3198</v>
      </c>
      <c r="F241" s="1" t="s">
        <v>3199</v>
      </c>
      <c r="H241" s="1">
        <v>47</v>
      </c>
      <c r="I241" s="1">
        <v>2017</v>
      </c>
      <c r="J241" s="1">
        <v>16</v>
      </c>
      <c r="K241" s="1">
        <v>1</v>
      </c>
      <c r="O241" s="1" t="s">
        <v>3200</v>
      </c>
    </row>
    <row r="242" spans="1:15" ht="15.75" customHeight="1">
      <c r="A242" s="1" t="s">
        <v>0</v>
      </c>
      <c r="B242" s="1" t="s">
        <v>6258</v>
      </c>
      <c r="C242" s="1" t="s">
        <v>6259</v>
      </c>
      <c r="D242" s="1" t="s">
        <v>3511</v>
      </c>
      <c r="E242" s="1" t="s">
        <v>6260</v>
      </c>
      <c r="F242" s="1" t="s">
        <v>6261</v>
      </c>
      <c r="G242" s="1">
        <v>85</v>
      </c>
      <c r="H242" s="1">
        <v>47</v>
      </c>
      <c r="I242" s="1">
        <v>2017</v>
      </c>
      <c r="K242" s="1" t="s">
        <v>3828</v>
      </c>
      <c r="O242" s="1" t="s">
        <v>6262</v>
      </c>
    </row>
    <row r="243" spans="1:15" ht="15.75" customHeight="1">
      <c r="A243" s="1" t="s">
        <v>0</v>
      </c>
      <c r="B243" s="1" t="s">
        <v>5196</v>
      </c>
      <c r="C243" s="1" t="s">
        <v>5197</v>
      </c>
      <c r="D243" s="1" t="s">
        <v>1371</v>
      </c>
      <c r="E243" s="1" t="s">
        <v>5198</v>
      </c>
      <c r="F243" s="1" t="s">
        <v>5199</v>
      </c>
      <c r="G243" s="1">
        <v>32</v>
      </c>
      <c r="H243" s="1">
        <v>43</v>
      </c>
      <c r="I243" s="1">
        <v>2017</v>
      </c>
      <c r="J243" s="1">
        <v>43</v>
      </c>
      <c r="K243" s="1" t="s">
        <v>605</v>
      </c>
    </row>
    <row r="244" spans="1:15" ht="15.75" customHeight="1">
      <c r="A244" s="1" t="s">
        <v>0</v>
      </c>
      <c r="B244" s="1" t="s">
        <v>1252</v>
      </c>
      <c r="C244" s="1" t="s">
        <v>1253</v>
      </c>
      <c r="D244" s="1" t="s">
        <v>382</v>
      </c>
      <c r="E244" s="1" t="s">
        <v>1254</v>
      </c>
      <c r="F244" s="1" t="s">
        <v>1255</v>
      </c>
      <c r="G244" s="1">
        <v>50</v>
      </c>
      <c r="H244" s="1">
        <v>42</v>
      </c>
      <c r="I244" s="1">
        <v>2017</v>
      </c>
      <c r="J244" s="1">
        <v>11</v>
      </c>
      <c r="K244" s="1" t="s">
        <v>61</v>
      </c>
    </row>
    <row r="245" spans="1:15" ht="15.75" customHeight="1">
      <c r="A245" s="1" t="s">
        <v>10</v>
      </c>
      <c r="B245" s="1" t="s">
        <v>4213</v>
      </c>
      <c r="C245" s="1" t="s">
        <v>4214</v>
      </c>
      <c r="D245" s="1" t="s">
        <v>2857</v>
      </c>
      <c r="E245" s="1" t="s">
        <v>4215</v>
      </c>
      <c r="F245" s="1" t="s">
        <v>4216</v>
      </c>
      <c r="H245" s="1">
        <v>38</v>
      </c>
      <c r="I245" s="1">
        <v>2017</v>
      </c>
      <c r="J245" s="1">
        <v>43</v>
      </c>
      <c r="K245" s="1">
        <v>3</v>
      </c>
      <c r="O245" s="1" t="s">
        <v>4217</v>
      </c>
    </row>
    <row r="246" spans="1:15" ht="15.75" customHeight="1">
      <c r="A246" s="1" t="s">
        <v>0</v>
      </c>
      <c r="B246" s="1" t="s">
        <v>6244</v>
      </c>
      <c r="C246" s="1" t="s">
        <v>6245</v>
      </c>
      <c r="D246" s="1" t="s">
        <v>732</v>
      </c>
      <c r="E246" s="1" t="s">
        <v>6246</v>
      </c>
      <c r="F246" s="1" t="s">
        <v>6247</v>
      </c>
      <c r="G246" s="1">
        <v>28</v>
      </c>
      <c r="H246" s="1">
        <v>37</v>
      </c>
      <c r="I246" s="1">
        <v>2017</v>
      </c>
      <c r="J246" s="1">
        <v>25</v>
      </c>
      <c r="K246" s="1" t="s">
        <v>461</v>
      </c>
      <c r="O246" s="1" t="s">
        <v>6248</v>
      </c>
    </row>
    <row r="247" spans="1:15" ht="15.75" customHeight="1">
      <c r="A247" s="1" t="s">
        <v>0</v>
      </c>
      <c r="B247" s="1" t="s">
        <v>494</v>
      </c>
      <c r="C247" s="1" t="s">
        <v>495</v>
      </c>
      <c r="D247" s="1" t="s">
        <v>496</v>
      </c>
      <c r="E247" s="1" t="s">
        <v>497</v>
      </c>
      <c r="F247" s="1" t="s">
        <v>498</v>
      </c>
      <c r="G247" s="1">
        <v>33</v>
      </c>
      <c r="H247" s="1">
        <v>34</v>
      </c>
      <c r="I247" s="1">
        <v>2017</v>
      </c>
      <c r="J247" s="1">
        <v>34</v>
      </c>
      <c r="K247" s="1" t="s">
        <v>378</v>
      </c>
      <c r="O247" s="1" t="s">
        <v>499</v>
      </c>
    </row>
    <row r="248" spans="1:15" ht="15.75" customHeight="1">
      <c r="A248" s="1" t="s">
        <v>10</v>
      </c>
      <c r="B248" s="1" t="s">
        <v>4101</v>
      </c>
      <c r="C248" s="1" t="s">
        <v>4102</v>
      </c>
      <c r="D248" s="1" t="s">
        <v>3018</v>
      </c>
      <c r="E248" s="1" t="s">
        <v>4103</v>
      </c>
      <c r="F248" s="1" t="s">
        <v>4104</v>
      </c>
      <c r="H248" s="1">
        <v>31</v>
      </c>
      <c r="I248" s="1">
        <v>2017</v>
      </c>
      <c r="J248" s="1">
        <v>53</v>
      </c>
      <c r="O248" s="1" t="s">
        <v>4105</v>
      </c>
    </row>
    <row r="249" spans="1:15" ht="15.75" customHeight="1">
      <c r="A249" s="1" t="s">
        <v>0</v>
      </c>
      <c r="B249" s="1" t="s">
        <v>713</v>
      </c>
      <c r="C249" s="1" t="s">
        <v>714</v>
      </c>
      <c r="D249" s="1" t="s">
        <v>715</v>
      </c>
      <c r="E249" s="1" t="s">
        <v>716</v>
      </c>
      <c r="F249" s="1" t="s">
        <v>717</v>
      </c>
      <c r="G249" s="1">
        <v>28</v>
      </c>
      <c r="H249" s="1">
        <v>30</v>
      </c>
      <c r="I249" s="1">
        <v>2017</v>
      </c>
      <c r="J249" s="1">
        <v>34</v>
      </c>
      <c r="K249" s="1" t="s">
        <v>61</v>
      </c>
      <c r="O249" s="1" t="s">
        <v>718</v>
      </c>
    </row>
    <row r="250" spans="1:15" ht="15.75" customHeight="1">
      <c r="A250" s="1" t="s">
        <v>10</v>
      </c>
      <c r="B250" s="1" t="s">
        <v>6944</v>
      </c>
      <c r="C250" s="1" t="s">
        <v>6945</v>
      </c>
      <c r="D250" s="1" t="s">
        <v>6946</v>
      </c>
      <c r="E250" s="1" t="s">
        <v>6947</v>
      </c>
      <c r="F250" s="2" t="s">
        <v>6948</v>
      </c>
      <c r="H250" s="1">
        <v>28</v>
      </c>
      <c r="I250" s="1">
        <v>2017</v>
      </c>
      <c r="J250" s="1">
        <v>22</v>
      </c>
      <c r="K250" s="1">
        <v>5</v>
      </c>
      <c r="O250" s="1" t="s">
        <v>6949</v>
      </c>
    </row>
    <row r="251" spans="1:15" ht="15.75" customHeight="1">
      <c r="A251" s="1" t="s">
        <v>0</v>
      </c>
      <c r="B251" s="1" t="s">
        <v>950</v>
      </c>
      <c r="C251" s="1" t="s">
        <v>951</v>
      </c>
      <c r="D251" s="1" t="s">
        <v>952</v>
      </c>
      <c r="E251" s="1" t="s">
        <v>953</v>
      </c>
      <c r="F251" s="1" t="s">
        <v>954</v>
      </c>
      <c r="G251" s="1">
        <v>52</v>
      </c>
      <c r="H251" s="1">
        <v>26</v>
      </c>
      <c r="I251" s="1">
        <v>2017</v>
      </c>
      <c r="J251" s="1">
        <v>0</v>
      </c>
      <c r="K251" s="1" t="s">
        <v>955</v>
      </c>
    </row>
    <row r="252" spans="1:15" ht="15.75" customHeight="1">
      <c r="A252" s="1" t="s">
        <v>0</v>
      </c>
      <c r="B252" s="1" t="s">
        <v>3531</v>
      </c>
      <c r="C252" s="1" t="s">
        <v>3532</v>
      </c>
      <c r="D252" s="1" t="s">
        <v>58</v>
      </c>
      <c r="E252" s="1" t="s">
        <v>3533</v>
      </c>
      <c r="F252" s="1" t="s">
        <v>3534</v>
      </c>
      <c r="G252" s="1">
        <v>58</v>
      </c>
      <c r="H252" s="1">
        <v>26</v>
      </c>
      <c r="I252" s="1">
        <v>2017</v>
      </c>
      <c r="J252" s="1">
        <v>17</v>
      </c>
      <c r="K252" s="1" t="s">
        <v>378</v>
      </c>
    </row>
    <row r="253" spans="1:15" ht="15.75" customHeight="1">
      <c r="A253" s="1" t="s">
        <v>10</v>
      </c>
      <c r="B253" s="1" t="s">
        <v>2292</v>
      </c>
      <c r="C253" s="1" t="s">
        <v>2293</v>
      </c>
      <c r="D253" s="1" t="s">
        <v>2294</v>
      </c>
      <c r="E253" s="1" t="s">
        <v>2295</v>
      </c>
      <c r="F253" s="1" t="s">
        <v>2296</v>
      </c>
      <c r="H253" s="1">
        <v>25</v>
      </c>
      <c r="I253" s="1">
        <v>2017</v>
      </c>
      <c r="J253" s="1">
        <v>24</v>
      </c>
      <c r="K253" s="1">
        <v>6</v>
      </c>
      <c r="O253" s="1" t="s">
        <v>2297</v>
      </c>
    </row>
    <row r="254" spans="1:15" ht="15.75" customHeight="1">
      <c r="A254" s="1" t="s">
        <v>10</v>
      </c>
      <c r="B254" s="1" t="s">
        <v>3413</v>
      </c>
      <c r="C254" s="1" t="s">
        <v>3414</v>
      </c>
      <c r="D254" s="1" t="s">
        <v>1500</v>
      </c>
      <c r="E254" s="1" t="s">
        <v>3415</v>
      </c>
      <c r="F254" s="1" t="s">
        <v>3416</v>
      </c>
      <c r="H254" s="1">
        <v>23</v>
      </c>
      <c r="I254" s="1">
        <v>2017</v>
      </c>
      <c r="K254" s="1">
        <v>66</v>
      </c>
    </row>
    <row r="255" spans="1:15" ht="15.75" customHeight="1">
      <c r="A255" s="1" t="s">
        <v>10</v>
      </c>
      <c r="B255" s="1" t="s">
        <v>4797</v>
      </c>
      <c r="C255" s="1" t="s">
        <v>4798</v>
      </c>
      <c r="D255" s="1" t="s">
        <v>452</v>
      </c>
      <c r="E255" s="1" t="s">
        <v>4799</v>
      </c>
      <c r="F255" s="1" t="s">
        <v>4800</v>
      </c>
      <c r="H255" s="1">
        <v>19</v>
      </c>
      <c r="I255" s="1">
        <v>2017</v>
      </c>
      <c r="J255" s="1">
        <v>53</v>
      </c>
      <c r="O255" s="1" t="s">
        <v>4801</v>
      </c>
    </row>
    <row r="256" spans="1:15" ht="15.75" customHeight="1">
      <c r="A256" s="1" t="s">
        <v>10</v>
      </c>
      <c r="B256" s="1" t="s">
        <v>1520</v>
      </c>
      <c r="C256" s="1" t="s">
        <v>1521</v>
      </c>
      <c r="D256" s="1" t="s">
        <v>1522</v>
      </c>
      <c r="E256" s="1" t="s">
        <v>1523</v>
      </c>
      <c r="F256" s="1" t="s">
        <v>1524</v>
      </c>
      <c r="H256" s="1">
        <v>17</v>
      </c>
      <c r="I256" s="1">
        <v>2017</v>
      </c>
      <c r="K256" s="1">
        <v>54</v>
      </c>
      <c r="O256" s="1" t="s">
        <v>1525</v>
      </c>
    </row>
    <row r="257" spans="1:16" ht="15.75" customHeight="1">
      <c r="A257" s="1" t="s">
        <v>0</v>
      </c>
      <c r="B257" s="1" t="s">
        <v>5792</v>
      </c>
      <c r="C257" s="1" t="s">
        <v>5793</v>
      </c>
      <c r="D257" s="1" t="s">
        <v>382</v>
      </c>
      <c r="E257" s="1" t="s">
        <v>5794</v>
      </c>
      <c r="F257" s="1" t="s">
        <v>5795</v>
      </c>
      <c r="G257" s="1">
        <v>100</v>
      </c>
      <c r="H257" s="1">
        <v>17</v>
      </c>
      <c r="I257" s="1">
        <v>2017</v>
      </c>
      <c r="J257" s="1">
        <v>11</v>
      </c>
      <c r="K257" s="1" t="s">
        <v>378</v>
      </c>
    </row>
    <row r="258" spans="1:16" ht="15.75" customHeight="1">
      <c r="A258" s="1" t="s">
        <v>10</v>
      </c>
      <c r="B258" s="1" t="s">
        <v>4112</v>
      </c>
      <c r="C258" s="1" t="s">
        <v>4113</v>
      </c>
      <c r="D258" s="2" t="s">
        <v>4114</v>
      </c>
      <c r="E258" s="1" t="s">
        <v>4115</v>
      </c>
      <c r="F258" s="1" t="s">
        <v>4116</v>
      </c>
      <c r="H258" s="1">
        <v>16</v>
      </c>
      <c r="I258" s="1">
        <v>2017</v>
      </c>
      <c r="J258" s="1">
        <v>9</v>
      </c>
      <c r="K258" s="1">
        <v>9</v>
      </c>
      <c r="O258" s="1" t="s">
        <v>4117</v>
      </c>
    </row>
    <row r="259" spans="1:16" ht="15.75" customHeight="1">
      <c r="A259" s="1" t="s">
        <v>31</v>
      </c>
      <c r="B259" s="1" t="s">
        <v>5712</v>
      </c>
      <c r="C259" s="1" t="s">
        <v>5713</v>
      </c>
      <c r="D259" s="1" t="s">
        <v>5714</v>
      </c>
      <c r="E259" s="1" t="s">
        <v>5715</v>
      </c>
      <c r="F259" s="1" t="s">
        <v>5716</v>
      </c>
      <c r="H259" s="1">
        <v>16</v>
      </c>
      <c r="I259" s="1">
        <v>2017</v>
      </c>
      <c r="O259" s="1" t="s">
        <v>5717</v>
      </c>
    </row>
    <row r="260" spans="1:16" ht="15.75" customHeight="1">
      <c r="A260" s="1" t="s">
        <v>10</v>
      </c>
      <c r="B260" s="1" t="s">
        <v>2944</v>
      </c>
      <c r="C260" s="1" t="s">
        <v>2945</v>
      </c>
      <c r="D260" s="1" t="s">
        <v>2467</v>
      </c>
      <c r="E260" s="1" t="s">
        <v>2946</v>
      </c>
      <c r="F260" s="1" t="s">
        <v>2947</v>
      </c>
      <c r="H260" s="1">
        <v>15</v>
      </c>
      <c r="I260" s="1">
        <v>2017</v>
      </c>
      <c r="J260" s="1">
        <v>17</v>
      </c>
      <c r="K260" s="1">
        <v>4</v>
      </c>
      <c r="O260" s="1" t="s">
        <v>2948</v>
      </c>
    </row>
    <row r="261" spans="1:16" ht="15.75" customHeight="1">
      <c r="A261" s="1" t="s">
        <v>10</v>
      </c>
      <c r="B261" s="1" t="s">
        <v>6878</v>
      </c>
      <c r="C261" s="1" t="s">
        <v>6879</v>
      </c>
      <c r="D261" s="1" t="s">
        <v>596</v>
      </c>
      <c r="E261" s="1" t="s">
        <v>6880</v>
      </c>
      <c r="F261" s="1" t="s">
        <v>6881</v>
      </c>
      <c r="H261" s="1">
        <v>14</v>
      </c>
      <c r="I261" s="1">
        <v>2017</v>
      </c>
      <c r="J261" s="1">
        <v>40</v>
      </c>
      <c r="K261" s="1">
        <v>4</v>
      </c>
      <c r="O261" s="1" t="s">
        <v>6882</v>
      </c>
    </row>
    <row r="262" spans="1:16" ht="15.75" customHeight="1">
      <c r="A262" s="1" t="s">
        <v>10</v>
      </c>
      <c r="B262" s="1" t="s">
        <v>2691</v>
      </c>
      <c r="C262" s="2" t="s">
        <v>2692</v>
      </c>
      <c r="D262" s="1" t="s">
        <v>503</v>
      </c>
      <c r="E262" s="1" t="s">
        <v>2693</v>
      </c>
      <c r="F262" s="1" t="s">
        <v>2694</v>
      </c>
      <c r="H262" s="1">
        <v>14</v>
      </c>
      <c r="I262" s="1">
        <v>2017</v>
      </c>
      <c r="J262" s="1">
        <v>66</v>
      </c>
      <c r="O262" s="1" t="s">
        <v>2695</v>
      </c>
    </row>
    <row r="263" spans="1:16" ht="15.75" customHeight="1">
      <c r="A263" s="1" t="s">
        <v>0</v>
      </c>
      <c r="B263" s="1" t="s">
        <v>5951</v>
      </c>
      <c r="C263" s="1" t="s">
        <v>5952</v>
      </c>
      <c r="D263" s="1" t="s">
        <v>5953</v>
      </c>
      <c r="E263" s="1" t="s">
        <v>5954</v>
      </c>
      <c r="F263" s="1" t="s">
        <v>5955</v>
      </c>
      <c r="G263" s="1">
        <v>81</v>
      </c>
      <c r="H263" s="1">
        <v>13</v>
      </c>
      <c r="I263" s="1">
        <v>2017</v>
      </c>
      <c r="J263" s="1">
        <v>60</v>
      </c>
      <c r="K263" s="1">
        <v>1</v>
      </c>
      <c r="L263" s="1">
        <v>239</v>
      </c>
      <c r="M263" s="1">
        <v>279</v>
      </c>
      <c r="N263" s="1" t="s">
        <v>6</v>
      </c>
      <c r="O263" s="1" t="s">
        <v>5956</v>
      </c>
      <c r="P263" s="3" t="str">
        <f>HYPERLINK("http://dx.doi.org/10.1590/001152582017120","http://dx.doi.org/10.1590/001152582017120")</f>
        <v>http://dx.doi.org/10.1590/001152582017120</v>
      </c>
    </row>
    <row r="264" spans="1:16" ht="15.75" customHeight="1">
      <c r="A264" s="1" t="s">
        <v>0</v>
      </c>
      <c r="B264" s="1" t="s">
        <v>1305</v>
      </c>
      <c r="C264" s="1" t="s">
        <v>1320</v>
      </c>
      <c r="D264" s="1" t="s">
        <v>1051</v>
      </c>
      <c r="E264" s="1" t="s">
        <v>1321</v>
      </c>
      <c r="F264" s="1" t="s">
        <v>1322</v>
      </c>
      <c r="G264" s="1">
        <v>84</v>
      </c>
      <c r="H264" s="1">
        <v>13</v>
      </c>
      <c r="I264" s="1">
        <v>2017</v>
      </c>
      <c r="J264" s="1">
        <v>17</v>
      </c>
      <c r="K264" s="1">
        <v>4</v>
      </c>
      <c r="L264" s="1">
        <v>554</v>
      </c>
      <c r="M264" s="1">
        <v>573</v>
      </c>
      <c r="N264" s="1" t="s">
        <v>6</v>
      </c>
      <c r="O264" s="1" t="s">
        <v>1323</v>
      </c>
      <c r="P264" s="3" t="str">
        <f>HYPERLINK("http://dx.doi.org/10.1111/glob.12161","http://dx.doi.org/10.1111/glob.12161")</f>
        <v>http://dx.doi.org/10.1111/glob.12161</v>
      </c>
    </row>
    <row r="265" spans="1:16" ht="15.75" customHeight="1">
      <c r="A265" s="1" t="s">
        <v>0</v>
      </c>
      <c r="B265" s="1" t="s">
        <v>1305</v>
      </c>
      <c r="C265" s="1" t="s">
        <v>1311</v>
      </c>
      <c r="D265" s="1" t="s">
        <v>1312</v>
      </c>
      <c r="E265" s="1" t="s">
        <v>1313</v>
      </c>
      <c r="F265" s="1" t="s">
        <v>1314</v>
      </c>
      <c r="G265" s="1">
        <v>48</v>
      </c>
      <c r="H265" s="1">
        <v>13</v>
      </c>
      <c r="I265" s="1">
        <v>2017</v>
      </c>
      <c r="J265" s="1">
        <v>18</v>
      </c>
      <c r="K265" s="1">
        <v>3</v>
      </c>
      <c r="L265" s="1">
        <v>246</v>
      </c>
      <c r="M265" s="1">
        <v>263</v>
      </c>
      <c r="N265" s="1" t="s">
        <v>6</v>
      </c>
      <c r="O265" s="1" t="s">
        <v>1315</v>
      </c>
      <c r="P265" s="3" t="str">
        <f>HYPERLINK("http://dx.doi.org/10.1080/14442213.2017.1311372","http://dx.doi.org/10.1080/14442213.2017.1311372")</f>
        <v>http://dx.doi.org/10.1080/14442213.2017.1311372</v>
      </c>
    </row>
    <row r="266" spans="1:16" ht="15.75" customHeight="1">
      <c r="A266" s="1" t="s">
        <v>0</v>
      </c>
      <c r="B266" s="1" t="s">
        <v>4986</v>
      </c>
      <c r="C266" s="1" t="s">
        <v>4987</v>
      </c>
      <c r="D266" s="1" t="s">
        <v>195</v>
      </c>
      <c r="E266" s="1" t="s">
        <v>4988</v>
      </c>
      <c r="F266" s="1" t="s">
        <v>4989</v>
      </c>
      <c r="G266" s="1">
        <v>38</v>
      </c>
      <c r="H266" s="1">
        <v>12</v>
      </c>
      <c r="I266" s="1">
        <v>2017</v>
      </c>
      <c r="J266" s="1">
        <v>49</v>
      </c>
      <c r="K266" s="1">
        <v>4</v>
      </c>
      <c r="L266" s="1">
        <v>613</v>
      </c>
      <c r="M266" s="1">
        <v>622</v>
      </c>
      <c r="N266" s="1" t="s">
        <v>6</v>
      </c>
      <c r="O266" s="1" t="s">
        <v>4990</v>
      </c>
      <c r="P266" s="3" t="str">
        <f>HYPERLINK("http://dx.doi.org/10.4067/S0717-73562017005000105","http://dx.doi.org/10.4067/S0717-73562017005000105")</f>
        <v>http://dx.doi.org/10.4067/S0717-73562017005000105</v>
      </c>
    </row>
    <row r="267" spans="1:16" ht="15.75" customHeight="1">
      <c r="A267" s="1" t="s">
        <v>10</v>
      </c>
      <c r="B267" s="1" t="s">
        <v>4586</v>
      </c>
      <c r="C267" s="1" t="s">
        <v>4587</v>
      </c>
      <c r="D267" s="2" t="s">
        <v>418</v>
      </c>
      <c r="E267" s="1" t="s">
        <v>4588</v>
      </c>
      <c r="F267" s="1" t="s">
        <v>4589</v>
      </c>
      <c r="H267" s="1">
        <v>12</v>
      </c>
      <c r="I267" s="1">
        <v>2017</v>
      </c>
      <c r="J267" s="1">
        <v>9</v>
      </c>
      <c r="K267" s="1">
        <v>1</v>
      </c>
    </row>
    <row r="268" spans="1:16" ht="15.75" customHeight="1">
      <c r="A268" s="1" t="s">
        <v>10</v>
      </c>
      <c r="B268" s="1" t="s">
        <v>2985</v>
      </c>
      <c r="C268" s="1" t="s">
        <v>2986</v>
      </c>
      <c r="D268" s="1" t="s">
        <v>2987</v>
      </c>
      <c r="E268" s="1" t="s">
        <v>2988</v>
      </c>
      <c r="F268" s="1" t="s">
        <v>2989</v>
      </c>
      <c r="H268" s="1">
        <v>11</v>
      </c>
      <c r="I268" s="1">
        <v>2017</v>
      </c>
      <c r="J268" s="1">
        <v>32</v>
      </c>
      <c r="K268" s="1">
        <v>91</v>
      </c>
      <c r="O268" s="1" t="s">
        <v>2990</v>
      </c>
    </row>
    <row r="269" spans="1:16" ht="15.75" customHeight="1">
      <c r="A269" s="1" t="s">
        <v>0</v>
      </c>
      <c r="B269" s="1" t="s">
        <v>1560</v>
      </c>
      <c r="C269" s="1" t="s">
        <v>1561</v>
      </c>
      <c r="D269" s="1" t="s">
        <v>1562</v>
      </c>
      <c r="E269" s="1" t="s">
        <v>1563</v>
      </c>
      <c r="F269" s="1" t="s">
        <v>1564</v>
      </c>
      <c r="G269" s="1">
        <v>35</v>
      </c>
      <c r="H269" s="1">
        <v>11</v>
      </c>
      <c r="I269" s="1">
        <v>2017</v>
      </c>
      <c r="J269" s="1">
        <v>29</v>
      </c>
      <c r="K269" s="1">
        <v>4</v>
      </c>
      <c r="L269" s="1">
        <v>473</v>
      </c>
      <c r="M269" s="1">
        <v>499</v>
      </c>
      <c r="N269" s="1" t="s">
        <v>6</v>
      </c>
      <c r="O269" s="1" t="s">
        <v>1565</v>
      </c>
      <c r="P269" s="3" t="str">
        <f>HYPERLINK("http://dx.doi.org/10.1002/jid.3074","http://dx.doi.org/10.1002/jid.3074")</f>
        <v>http://dx.doi.org/10.1002/jid.3074</v>
      </c>
    </row>
    <row r="270" spans="1:16" ht="15.75" customHeight="1">
      <c r="A270" s="1" t="s">
        <v>10</v>
      </c>
      <c r="B270" s="1" t="s">
        <v>3521</v>
      </c>
      <c r="C270" s="1" t="s">
        <v>3522</v>
      </c>
      <c r="D270" s="1" t="s">
        <v>3523</v>
      </c>
      <c r="E270" s="1" t="s">
        <v>3524</v>
      </c>
      <c r="F270" s="1" t="s">
        <v>3525</v>
      </c>
      <c r="H270" s="1">
        <v>10</v>
      </c>
      <c r="I270" s="1">
        <v>2017</v>
      </c>
      <c r="K270" s="1">
        <v>6</v>
      </c>
    </row>
    <row r="271" spans="1:16" ht="15.75" customHeight="1">
      <c r="A271" s="1" t="s">
        <v>10</v>
      </c>
      <c r="B271" s="1" t="s">
        <v>1471</v>
      </c>
      <c r="C271" s="1" t="s">
        <v>1472</v>
      </c>
      <c r="D271" s="1" t="s">
        <v>171</v>
      </c>
      <c r="E271" s="1" t="s">
        <v>1473</v>
      </c>
      <c r="F271" s="1" t="s">
        <v>1474</v>
      </c>
      <c r="H271" s="1">
        <v>10</v>
      </c>
      <c r="I271" s="1">
        <v>2017</v>
      </c>
      <c r="J271" s="1">
        <v>8</v>
      </c>
      <c r="K271" s="1">
        <v>2</v>
      </c>
      <c r="O271" s="1" t="s">
        <v>1475</v>
      </c>
    </row>
    <row r="272" spans="1:16" ht="15.75" customHeight="1">
      <c r="A272" s="1" t="s">
        <v>0</v>
      </c>
      <c r="B272" s="1" t="s">
        <v>1126</v>
      </c>
      <c r="C272" s="1" t="s">
        <v>1127</v>
      </c>
      <c r="D272" s="1" t="s">
        <v>1128</v>
      </c>
      <c r="E272" s="1" t="s">
        <v>1129</v>
      </c>
      <c r="F272" s="1" t="s">
        <v>1130</v>
      </c>
      <c r="G272" s="1">
        <v>31</v>
      </c>
      <c r="H272" s="1">
        <v>10</v>
      </c>
      <c r="I272" s="1">
        <v>2017</v>
      </c>
      <c r="J272" s="1">
        <v>5</v>
      </c>
      <c r="K272" s="1">
        <v>3</v>
      </c>
      <c r="L272" s="1">
        <v>304</v>
      </c>
      <c r="M272" s="1">
        <v>317</v>
      </c>
      <c r="N272" s="1" t="s">
        <v>6</v>
      </c>
      <c r="O272" s="1" t="s">
        <v>1131</v>
      </c>
      <c r="P272" s="3" t="str">
        <f>HYPERLINK("http://dx.doi.org/10.1080/21622671.2017.1306458","http://dx.doi.org/10.1080/21622671.2017.1306458")</f>
        <v>http://dx.doi.org/10.1080/21622671.2017.1306458</v>
      </c>
    </row>
    <row r="273" spans="1:16" ht="15.75" customHeight="1">
      <c r="A273" s="1" t="s">
        <v>0</v>
      </c>
      <c r="B273" s="1" t="s">
        <v>5042</v>
      </c>
      <c r="C273" s="1" t="s">
        <v>5043</v>
      </c>
      <c r="D273" s="1" t="s">
        <v>1651</v>
      </c>
      <c r="E273" s="1" t="s">
        <v>5044</v>
      </c>
      <c r="F273" s="1" t="s">
        <v>5045</v>
      </c>
      <c r="G273" s="1">
        <v>78</v>
      </c>
      <c r="H273" s="1">
        <v>9</v>
      </c>
      <c r="I273" s="1">
        <v>2017</v>
      </c>
      <c r="J273" s="1">
        <v>59</v>
      </c>
      <c r="K273" s="1">
        <v>3</v>
      </c>
      <c r="L273" s="1">
        <v>519</v>
      </c>
      <c r="M273" s="1">
        <v>549</v>
      </c>
      <c r="N273" s="1" t="s">
        <v>6</v>
      </c>
      <c r="O273" s="1" t="s">
        <v>5046</v>
      </c>
      <c r="P273" s="3" t="str">
        <f>HYPERLINK("http://dx.doi.org/10.1017/S0010417517000159","http://dx.doi.org/10.1017/S0010417517000159")</f>
        <v>http://dx.doi.org/10.1017/S0010417517000159</v>
      </c>
    </row>
    <row r="274" spans="1:16" ht="15.75" customHeight="1">
      <c r="A274" s="1" t="s">
        <v>10</v>
      </c>
      <c r="B274" s="1" t="s">
        <v>5911</v>
      </c>
      <c r="C274" s="1" t="s">
        <v>5912</v>
      </c>
      <c r="D274" s="1" t="s">
        <v>5913</v>
      </c>
      <c r="E274" s="1" t="s">
        <v>5914</v>
      </c>
      <c r="F274" s="1" t="s">
        <v>5915</v>
      </c>
      <c r="H274" s="1">
        <v>8</v>
      </c>
      <c r="I274" s="1">
        <v>2017</v>
      </c>
      <c r="J274" s="1">
        <v>37</v>
      </c>
      <c r="K274" s="1">
        <v>4</v>
      </c>
      <c r="O274" s="1" t="s">
        <v>5916</v>
      </c>
    </row>
    <row r="275" spans="1:16" ht="15.75" customHeight="1">
      <c r="A275" s="1" t="s">
        <v>10</v>
      </c>
      <c r="B275" s="1" t="s">
        <v>5036</v>
      </c>
      <c r="C275" s="1" t="s">
        <v>5037</v>
      </c>
      <c r="D275" s="1" t="s">
        <v>5038</v>
      </c>
      <c r="E275" s="1" t="s">
        <v>5039</v>
      </c>
      <c r="F275" s="1" t="s">
        <v>5040</v>
      </c>
      <c r="H275" s="1">
        <v>7</v>
      </c>
      <c r="I275" s="1">
        <v>2017</v>
      </c>
      <c r="J275" s="1">
        <v>58</v>
      </c>
      <c r="K275" s="1">
        <v>1</v>
      </c>
      <c r="O275" s="1" t="s">
        <v>5041</v>
      </c>
    </row>
    <row r="276" spans="1:16" ht="15.75" customHeight="1">
      <c r="A276" s="1" t="s">
        <v>0</v>
      </c>
      <c r="B276" s="1" t="s">
        <v>5975</v>
      </c>
      <c r="C276" s="1" t="s">
        <v>5976</v>
      </c>
      <c r="D276" s="1" t="s">
        <v>963</v>
      </c>
      <c r="E276" s="8" t="s">
        <v>7117</v>
      </c>
      <c r="F276" s="1" t="s">
        <v>5977</v>
      </c>
      <c r="G276" s="1">
        <v>61</v>
      </c>
      <c r="H276" s="1">
        <v>6</v>
      </c>
      <c r="I276" s="1">
        <v>2017</v>
      </c>
      <c r="J276" s="1">
        <v>55</v>
      </c>
      <c r="K276" s="1">
        <v>6</v>
      </c>
      <c r="L276" s="1">
        <v>200</v>
      </c>
      <c r="M276" s="1">
        <v>215</v>
      </c>
      <c r="N276" s="1" t="s">
        <v>6</v>
      </c>
      <c r="O276" s="1" t="s">
        <v>5978</v>
      </c>
      <c r="P276" s="3" t="str">
        <f>HYPERLINK("http://dx.doi.org/10.1111/imig.12390","http://dx.doi.org/10.1111/imig.12390")</f>
        <v>http://dx.doi.org/10.1111/imig.12390</v>
      </c>
    </row>
    <row r="277" spans="1:16" ht="15.75" customHeight="1">
      <c r="A277" s="1" t="s">
        <v>10</v>
      </c>
      <c r="B277" s="1" t="s">
        <v>2370</v>
      </c>
      <c r="C277" s="1" t="s">
        <v>2371</v>
      </c>
      <c r="D277" s="1" t="s">
        <v>2372</v>
      </c>
      <c r="E277" s="1" t="s">
        <v>2373</v>
      </c>
      <c r="F277" s="1" t="s">
        <v>2374</v>
      </c>
      <c r="H277" s="1">
        <v>6</v>
      </c>
      <c r="I277" s="1">
        <v>2017</v>
      </c>
      <c r="J277" s="1" t="s">
        <v>2375</v>
      </c>
      <c r="K277" s="1">
        <v>68</v>
      </c>
    </row>
    <row r="278" spans="1:16" ht="15.75" customHeight="1">
      <c r="A278" s="1" t="s">
        <v>0</v>
      </c>
      <c r="B278" s="1" t="s">
        <v>4118</v>
      </c>
      <c r="C278" s="1" t="s">
        <v>4119</v>
      </c>
      <c r="D278" s="1" t="s">
        <v>264</v>
      </c>
      <c r="E278" s="1" t="s">
        <v>4120</v>
      </c>
      <c r="F278" s="1" t="s">
        <v>4121</v>
      </c>
      <c r="G278" s="1">
        <v>37</v>
      </c>
      <c r="H278" s="1">
        <v>6</v>
      </c>
      <c r="I278" s="1">
        <v>2017</v>
      </c>
      <c r="J278" s="1">
        <v>43</v>
      </c>
      <c r="K278" s="1">
        <v>9</v>
      </c>
      <c r="L278" s="1">
        <v>1580</v>
      </c>
      <c r="M278" s="1">
        <v>1596</v>
      </c>
      <c r="N278" s="1" t="s">
        <v>6</v>
      </c>
      <c r="O278" s="1" t="s">
        <v>4122</v>
      </c>
      <c r="P278" s="3" t="str">
        <f>HYPERLINK("http://dx.doi.org/10.1080/1369183X.2016.1232159","http://dx.doi.org/10.1080/1369183X.2016.1232159")</f>
        <v>http://dx.doi.org/10.1080/1369183X.2016.1232159</v>
      </c>
    </row>
    <row r="279" spans="1:16" ht="15.75" customHeight="1">
      <c r="A279" s="1" t="s">
        <v>0</v>
      </c>
      <c r="B279" s="1" t="s">
        <v>3793</v>
      </c>
      <c r="C279" s="1" t="s">
        <v>3794</v>
      </c>
      <c r="D279" s="2" t="s">
        <v>418</v>
      </c>
      <c r="E279" s="1" t="s">
        <v>3795</v>
      </c>
      <c r="F279" s="1" t="s">
        <v>3796</v>
      </c>
      <c r="G279" s="1">
        <v>39</v>
      </c>
      <c r="H279" s="1">
        <v>6</v>
      </c>
      <c r="I279" s="1">
        <v>2017</v>
      </c>
      <c r="J279" s="1">
        <v>9</v>
      </c>
      <c r="K279" s="1" t="s">
        <v>378</v>
      </c>
    </row>
    <row r="280" spans="1:16" ht="15.75" customHeight="1">
      <c r="A280" s="1" t="s">
        <v>0</v>
      </c>
      <c r="B280" s="1" t="s">
        <v>2169</v>
      </c>
      <c r="C280" s="1" t="s">
        <v>2170</v>
      </c>
      <c r="D280" s="1" t="s">
        <v>696</v>
      </c>
      <c r="E280" s="1" t="s">
        <v>2171</v>
      </c>
      <c r="F280" s="1" t="s">
        <v>2172</v>
      </c>
      <c r="G280" s="1">
        <v>28</v>
      </c>
      <c r="H280" s="1">
        <v>6</v>
      </c>
      <c r="I280" s="1">
        <v>2017</v>
      </c>
      <c r="J280" s="1">
        <v>16</v>
      </c>
      <c r="K280" s="1">
        <v>5</v>
      </c>
      <c r="L280" s="1" t="s">
        <v>6</v>
      </c>
      <c r="M280" s="1" t="s">
        <v>6</v>
      </c>
      <c r="N280" s="1" t="s">
        <v>6</v>
      </c>
      <c r="O280" s="1" t="s">
        <v>2173</v>
      </c>
      <c r="P280" s="3" t="str">
        <f>HYPERLINK("http://dx.doi.org/10.11144/Javeriana.upsy16-5.cibs","http://dx.doi.org/10.11144/Javeriana.upsy16-5.cibs")</f>
        <v>http://dx.doi.org/10.11144/Javeriana.upsy16-5.cibs</v>
      </c>
    </row>
    <row r="281" spans="1:16" ht="15.75" customHeight="1">
      <c r="A281" s="1" t="s">
        <v>10</v>
      </c>
      <c r="B281" s="1" t="s">
        <v>4777</v>
      </c>
      <c r="C281" s="2" t="s">
        <v>4778</v>
      </c>
      <c r="D281" s="1" t="s">
        <v>1500</v>
      </c>
      <c r="E281" s="1" t="s">
        <v>4779</v>
      </c>
      <c r="F281" s="1" t="s">
        <v>4780</v>
      </c>
      <c r="H281" s="1">
        <v>5</v>
      </c>
      <c r="I281" s="1">
        <v>2017</v>
      </c>
      <c r="K281" s="1">
        <v>67</v>
      </c>
    </row>
    <row r="282" spans="1:16" ht="15.75" customHeight="1">
      <c r="A282" s="1" t="s">
        <v>0</v>
      </c>
      <c r="B282" s="1" t="s">
        <v>280</v>
      </c>
      <c r="C282" s="1" t="s">
        <v>281</v>
      </c>
      <c r="D282" s="1" t="s">
        <v>282</v>
      </c>
      <c r="E282" s="1" t="s">
        <v>283</v>
      </c>
      <c r="F282" s="1" t="s">
        <v>284</v>
      </c>
      <c r="G282" s="1">
        <v>25</v>
      </c>
      <c r="H282" s="1">
        <v>5</v>
      </c>
      <c r="I282" s="1">
        <v>2017</v>
      </c>
      <c r="J282" s="1">
        <v>27</v>
      </c>
      <c r="K282" s="1" t="s">
        <v>61</v>
      </c>
      <c r="O282" s="1" t="s">
        <v>285</v>
      </c>
    </row>
    <row r="283" spans="1:16" ht="15.75" customHeight="1">
      <c r="A283" s="1" t="s">
        <v>10</v>
      </c>
      <c r="B283" s="1" t="s">
        <v>2979</v>
      </c>
      <c r="C283" s="1" t="s">
        <v>2980</v>
      </c>
      <c r="D283" s="1" t="s">
        <v>2981</v>
      </c>
      <c r="E283" s="1" t="s">
        <v>2982</v>
      </c>
      <c r="F283" s="1" t="s">
        <v>2983</v>
      </c>
      <c r="H283" s="1">
        <v>4</v>
      </c>
      <c r="I283" s="1">
        <v>2017</v>
      </c>
      <c r="J283" s="1">
        <v>25</v>
      </c>
      <c r="K283" s="1">
        <v>2</v>
      </c>
      <c r="O283" s="1" t="s">
        <v>2984</v>
      </c>
    </row>
    <row r="284" spans="1:16" ht="15.75" customHeight="1">
      <c r="A284" s="1" t="s">
        <v>10</v>
      </c>
      <c r="B284" s="1" t="s">
        <v>5074</v>
      </c>
      <c r="C284" s="1" t="s">
        <v>5075</v>
      </c>
      <c r="D284" s="1" t="s">
        <v>70</v>
      </c>
      <c r="E284" s="1" t="s">
        <v>5076</v>
      </c>
      <c r="F284" s="1" t="s">
        <v>5077</v>
      </c>
      <c r="H284" s="1">
        <v>4</v>
      </c>
      <c r="I284" s="1">
        <v>2017</v>
      </c>
      <c r="J284" s="1">
        <v>9</v>
      </c>
      <c r="K284" s="1">
        <v>2</v>
      </c>
      <c r="O284" s="1" t="s">
        <v>5078</v>
      </c>
    </row>
    <row r="285" spans="1:16" ht="15.75" customHeight="1">
      <c r="A285" s="1" t="s">
        <v>0</v>
      </c>
      <c r="B285" s="1" t="s">
        <v>5823</v>
      </c>
      <c r="C285" s="1" t="s">
        <v>5824</v>
      </c>
      <c r="D285" s="1" t="s">
        <v>282</v>
      </c>
      <c r="E285" s="1" t="s">
        <v>5825</v>
      </c>
      <c r="F285" s="1" t="s">
        <v>5826</v>
      </c>
      <c r="G285" s="1">
        <v>60</v>
      </c>
      <c r="H285" s="1">
        <v>4</v>
      </c>
      <c r="I285" s="1">
        <v>2017</v>
      </c>
      <c r="J285" s="1">
        <v>27</v>
      </c>
      <c r="K285" s="1" t="s">
        <v>61</v>
      </c>
      <c r="O285" s="1" t="s">
        <v>5827</v>
      </c>
    </row>
    <row r="286" spans="1:16" ht="15.75" customHeight="1">
      <c r="A286" s="1" t="s">
        <v>0</v>
      </c>
      <c r="B286" s="1" t="s">
        <v>7014</v>
      </c>
      <c r="C286" s="1" t="s">
        <v>7015</v>
      </c>
      <c r="D286" s="1" t="s">
        <v>7016</v>
      </c>
      <c r="E286" s="1" t="s">
        <v>7017</v>
      </c>
      <c r="F286" s="1" t="s">
        <v>7018</v>
      </c>
      <c r="G286" s="1">
        <v>2</v>
      </c>
      <c r="H286" s="1">
        <v>4</v>
      </c>
      <c r="I286" s="1">
        <v>2017</v>
      </c>
      <c r="J286" s="1">
        <v>23</v>
      </c>
      <c r="K286" s="1">
        <v>5</v>
      </c>
      <c r="L286" s="1">
        <v>352</v>
      </c>
      <c r="M286" s="1">
        <v>354</v>
      </c>
      <c r="N286" s="1" t="s">
        <v>6</v>
      </c>
      <c r="O286" s="1" t="s">
        <v>7019</v>
      </c>
      <c r="P286" s="3" t="str">
        <f>HYPERLINK("http://dx.doi.org/10.1177/1077800416659087","http://dx.doi.org/10.1177/1077800416659087")</f>
        <v>http://dx.doi.org/10.1177/1077800416659087</v>
      </c>
    </row>
    <row r="287" spans="1:16" ht="15.75" customHeight="1">
      <c r="A287" s="1" t="s">
        <v>10</v>
      </c>
      <c r="B287" s="1" t="s">
        <v>2584</v>
      </c>
      <c r="C287" s="1" t="s">
        <v>2585</v>
      </c>
      <c r="D287" s="1" t="s">
        <v>2586</v>
      </c>
      <c r="E287" s="1" t="s">
        <v>2587</v>
      </c>
      <c r="F287" s="1" t="s">
        <v>2588</v>
      </c>
      <c r="H287" s="1">
        <v>3</v>
      </c>
      <c r="I287" s="1">
        <v>2017</v>
      </c>
      <c r="K287" s="1">
        <v>19</v>
      </c>
    </row>
    <row r="288" spans="1:16" ht="15.75" customHeight="1">
      <c r="A288" s="1" t="s">
        <v>0</v>
      </c>
      <c r="B288" s="1" t="s">
        <v>3284</v>
      </c>
      <c r="C288" s="1" t="s">
        <v>3285</v>
      </c>
      <c r="D288" s="1" t="s">
        <v>106</v>
      </c>
      <c r="E288" s="1" t="s">
        <v>3286</v>
      </c>
      <c r="F288" s="1" t="s">
        <v>3287</v>
      </c>
      <c r="G288" s="1">
        <v>20</v>
      </c>
      <c r="H288" s="1">
        <v>3</v>
      </c>
      <c r="I288" s="1">
        <v>2017</v>
      </c>
      <c r="J288" s="1">
        <v>17</v>
      </c>
      <c r="K288" s="1" t="s">
        <v>378</v>
      </c>
      <c r="O288" s="1" t="s">
        <v>3288</v>
      </c>
    </row>
    <row r="289" spans="1:16" ht="15.75" customHeight="1">
      <c r="A289" s="1" t="s">
        <v>0</v>
      </c>
      <c r="B289" s="1" t="s">
        <v>3971</v>
      </c>
      <c r="C289" s="1" t="s">
        <v>3972</v>
      </c>
      <c r="D289" s="1" t="s">
        <v>2022</v>
      </c>
      <c r="E289" s="1" t="s">
        <v>3973</v>
      </c>
      <c r="F289" s="1" t="s">
        <v>3974</v>
      </c>
      <c r="G289" s="1">
        <v>40</v>
      </c>
      <c r="H289" s="1">
        <v>3</v>
      </c>
      <c r="I289" s="1">
        <v>2017</v>
      </c>
      <c r="J289" s="1" t="s">
        <v>6</v>
      </c>
      <c r="K289" s="1">
        <v>67</v>
      </c>
      <c r="L289" s="1">
        <v>211</v>
      </c>
      <c r="M289" s="1">
        <v>233</v>
      </c>
      <c r="N289" s="1" t="s">
        <v>6</v>
      </c>
      <c r="O289" s="1" t="s">
        <v>3975</v>
      </c>
      <c r="P289" s="3" t="str">
        <f>HYPERLINK("http://dx.doi.org/10.4067/S0718-34022017000200011","http://dx.doi.org/10.4067/S0718-34022017000200011")</f>
        <v>http://dx.doi.org/10.4067/S0718-34022017000200011</v>
      </c>
    </row>
    <row r="290" spans="1:16" ht="15.75" customHeight="1">
      <c r="A290" s="1" t="s">
        <v>0</v>
      </c>
      <c r="B290" s="1" t="s">
        <v>4781</v>
      </c>
      <c r="C290" s="1" t="s">
        <v>4782</v>
      </c>
      <c r="D290" s="1" t="s">
        <v>4783</v>
      </c>
      <c r="E290" s="1" t="s">
        <v>4784</v>
      </c>
      <c r="F290" s="1" t="s">
        <v>4785</v>
      </c>
      <c r="G290" s="1">
        <v>40</v>
      </c>
      <c r="H290" s="1">
        <v>3</v>
      </c>
      <c r="I290" s="1">
        <v>2017</v>
      </c>
      <c r="K290" s="1" t="s">
        <v>396</v>
      </c>
    </row>
    <row r="291" spans="1:16" ht="15.75" customHeight="1">
      <c r="A291" s="1" t="s">
        <v>10</v>
      </c>
      <c r="B291" s="1" t="s">
        <v>525</v>
      </c>
      <c r="C291" s="1" t="s">
        <v>526</v>
      </c>
      <c r="D291" s="1" t="s">
        <v>527</v>
      </c>
      <c r="E291" s="1" t="s">
        <v>528</v>
      </c>
      <c r="F291" s="1" t="s">
        <v>529</v>
      </c>
      <c r="H291" s="1">
        <v>2</v>
      </c>
      <c r="I291" s="1">
        <v>2017</v>
      </c>
      <c r="J291" s="1">
        <v>29</v>
      </c>
      <c r="K291" s="1">
        <v>4</v>
      </c>
      <c r="O291" s="1" t="s">
        <v>530</v>
      </c>
    </row>
    <row r="292" spans="1:16" ht="15.75" customHeight="1">
      <c r="A292" s="1" t="s">
        <v>10</v>
      </c>
      <c r="B292" s="1" t="s">
        <v>5183</v>
      </c>
      <c r="C292" s="1" t="s">
        <v>5184</v>
      </c>
      <c r="D292" s="1" t="s">
        <v>3917</v>
      </c>
      <c r="E292" s="1" t="s">
        <v>5185</v>
      </c>
      <c r="F292" s="1" t="s">
        <v>2572</v>
      </c>
      <c r="H292" s="1">
        <v>2</v>
      </c>
      <c r="I292" s="1">
        <v>2017</v>
      </c>
      <c r="J292" s="1">
        <v>1</v>
      </c>
      <c r="K292" s="1">
        <v>54</v>
      </c>
    </row>
    <row r="293" spans="1:16" ht="15.75" customHeight="1">
      <c r="A293" s="1" t="s">
        <v>10</v>
      </c>
      <c r="B293" s="1" t="s">
        <v>5426</v>
      </c>
      <c r="C293" s="1" t="s">
        <v>5427</v>
      </c>
      <c r="D293" s="1" t="s">
        <v>5428</v>
      </c>
      <c r="E293" s="1" t="s">
        <v>5429</v>
      </c>
      <c r="F293" s="1" t="s">
        <v>5430</v>
      </c>
      <c r="H293" s="1">
        <v>2</v>
      </c>
      <c r="I293" s="1">
        <v>2017</v>
      </c>
      <c r="K293" s="1">
        <v>10</v>
      </c>
    </row>
    <row r="294" spans="1:16" ht="15.75" customHeight="1">
      <c r="A294" s="1" t="s">
        <v>10</v>
      </c>
      <c r="B294" s="1" t="s">
        <v>1666</v>
      </c>
      <c r="C294" s="1" t="s">
        <v>1667</v>
      </c>
      <c r="D294" s="1" t="s">
        <v>1668</v>
      </c>
      <c r="E294" s="1" t="s">
        <v>1669</v>
      </c>
      <c r="F294" s="1" t="s">
        <v>1670</v>
      </c>
      <c r="H294" s="1">
        <v>2</v>
      </c>
      <c r="I294" s="1">
        <v>2017</v>
      </c>
      <c r="K294" s="1">
        <v>37</v>
      </c>
    </row>
    <row r="295" spans="1:16" ht="15.75" customHeight="1">
      <c r="A295" s="1" t="s">
        <v>0</v>
      </c>
      <c r="B295" s="1" t="s">
        <v>2915</v>
      </c>
      <c r="C295" s="1" t="s">
        <v>2916</v>
      </c>
      <c r="D295" s="1" t="s">
        <v>2917</v>
      </c>
      <c r="E295" s="1" t="s">
        <v>2918</v>
      </c>
      <c r="F295" s="1" t="s">
        <v>2919</v>
      </c>
      <c r="G295" s="1">
        <v>42</v>
      </c>
      <c r="H295" s="1">
        <v>2</v>
      </c>
      <c r="I295" s="1">
        <v>2017</v>
      </c>
      <c r="J295" s="1">
        <v>148</v>
      </c>
      <c r="K295" s="1">
        <v>1</v>
      </c>
      <c r="L295" s="1">
        <v>27</v>
      </c>
      <c r="M295" s="1">
        <v>38</v>
      </c>
      <c r="N295" s="1" t="s">
        <v>6</v>
      </c>
      <c r="O295" s="1" t="s">
        <v>2920</v>
      </c>
      <c r="P295" s="3" t="str">
        <f>HYPERLINK("http://dx.doi.org/10.12854/erde-148-28","http://dx.doi.org/10.12854/erde-148-28")</f>
        <v>http://dx.doi.org/10.12854/erde-148-28</v>
      </c>
    </row>
    <row r="296" spans="1:16" ht="15.75" customHeight="1">
      <c r="A296" s="1" t="s">
        <v>0</v>
      </c>
      <c r="B296" s="1" t="s">
        <v>6365</v>
      </c>
      <c r="C296" s="1" t="s">
        <v>6366</v>
      </c>
      <c r="D296" s="1" t="s">
        <v>2022</v>
      </c>
      <c r="E296" s="1" t="s">
        <v>6367</v>
      </c>
      <c r="F296" s="1" t="s">
        <v>6368</v>
      </c>
      <c r="G296" s="1">
        <v>50</v>
      </c>
      <c r="H296" s="1">
        <v>1</v>
      </c>
      <c r="I296" s="1">
        <v>2017</v>
      </c>
      <c r="J296" s="1" t="s">
        <v>6</v>
      </c>
      <c r="K296" s="1">
        <v>66</v>
      </c>
      <c r="L296" s="1">
        <v>117</v>
      </c>
      <c r="M296" s="1">
        <v>141</v>
      </c>
      <c r="N296" s="1" t="s">
        <v>6</v>
      </c>
      <c r="O296" s="1" t="s">
        <v>6</v>
      </c>
      <c r="P296" s="1" t="s">
        <v>6</v>
      </c>
    </row>
    <row r="297" spans="1:16" ht="15.75" customHeight="1">
      <c r="A297" s="1" t="s">
        <v>0</v>
      </c>
      <c r="B297" s="1" t="s">
        <v>5623</v>
      </c>
      <c r="C297" s="1" t="s">
        <v>5624</v>
      </c>
      <c r="D297" s="1" t="s">
        <v>1933</v>
      </c>
      <c r="E297" s="1" t="s">
        <v>5625</v>
      </c>
      <c r="F297" s="1" t="s">
        <v>5626</v>
      </c>
      <c r="G297" s="1">
        <v>49</v>
      </c>
      <c r="H297" s="1">
        <v>1</v>
      </c>
      <c r="I297" s="1">
        <v>2017</v>
      </c>
      <c r="J297" s="1">
        <v>43</v>
      </c>
      <c r="K297" s="1">
        <v>128</v>
      </c>
      <c r="L297" s="1" t="s">
        <v>6</v>
      </c>
      <c r="M297" s="1" t="s">
        <v>6</v>
      </c>
      <c r="N297" s="1" t="s">
        <v>6</v>
      </c>
      <c r="O297" s="1" t="s">
        <v>6</v>
      </c>
      <c r="P297" s="1" t="s">
        <v>6</v>
      </c>
    </row>
    <row r="298" spans="1:16" ht="15.75" customHeight="1">
      <c r="A298" s="1" t="s">
        <v>0</v>
      </c>
      <c r="B298" s="1" t="s">
        <v>1305</v>
      </c>
      <c r="C298" s="1" t="s">
        <v>1334</v>
      </c>
      <c r="D298" s="1" t="s">
        <v>206</v>
      </c>
      <c r="E298" s="1" t="s">
        <v>1335</v>
      </c>
      <c r="F298" s="1" t="s">
        <v>1336</v>
      </c>
      <c r="G298" s="1">
        <v>74</v>
      </c>
      <c r="H298" s="1">
        <v>1</v>
      </c>
      <c r="I298" s="1">
        <v>2017</v>
      </c>
      <c r="J298" s="1" t="s">
        <v>6</v>
      </c>
      <c r="K298" s="1">
        <v>59</v>
      </c>
      <c r="L298" s="1">
        <v>30</v>
      </c>
      <c r="M298" s="1">
        <v>43</v>
      </c>
      <c r="N298" s="1" t="s">
        <v>6</v>
      </c>
      <c r="O298" s="1" t="s">
        <v>1337</v>
      </c>
      <c r="P298" s="3" t="str">
        <f>HYPERLINK("http://dx.doi.org/10.7440/res59.2017.03","http://dx.doi.org/10.7440/res59.2017.03")</f>
        <v>http://dx.doi.org/10.7440/res59.2017.03</v>
      </c>
    </row>
    <row r="299" spans="1:16" ht="15.75" customHeight="1">
      <c r="A299" s="1" t="s">
        <v>0</v>
      </c>
      <c r="B299" s="1" t="s">
        <v>2569</v>
      </c>
      <c r="C299" s="1" t="s">
        <v>2570</v>
      </c>
      <c r="D299" s="1" t="s">
        <v>201</v>
      </c>
      <c r="E299" s="1" t="s">
        <v>2571</v>
      </c>
      <c r="F299" s="1" t="s">
        <v>2572</v>
      </c>
      <c r="G299" s="1">
        <v>89</v>
      </c>
      <c r="H299" s="1">
        <v>0</v>
      </c>
      <c r="I299" s="1">
        <v>2017</v>
      </c>
      <c r="J299" s="1" t="s">
        <v>6</v>
      </c>
      <c r="K299" s="1">
        <v>54</v>
      </c>
      <c r="L299" s="1">
        <v>153</v>
      </c>
      <c r="M299" s="1">
        <v>177</v>
      </c>
      <c r="N299" s="1" t="s">
        <v>6</v>
      </c>
      <c r="O299" s="1" t="s">
        <v>6</v>
      </c>
      <c r="P299" s="1" t="s">
        <v>6</v>
      </c>
    </row>
    <row r="300" spans="1:16" ht="15.75" customHeight="1">
      <c r="A300" s="1" t="s">
        <v>0</v>
      </c>
      <c r="B300" s="1" t="s">
        <v>5105</v>
      </c>
      <c r="C300" s="1" t="s">
        <v>5106</v>
      </c>
      <c r="D300" s="1" t="s">
        <v>195</v>
      </c>
      <c r="E300" s="1" t="s">
        <v>5107</v>
      </c>
      <c r="F300" s="1" t="s">
        <v>5108</v>
      </c>
      <c r="G300" s="1">
        <v>48</v>
      </c>
      <c r="H300" s="1">
        <v>0</v>
      </c>
      <c r="I300" s="1">
        <v>2017</v>
      </c>
      <c r="J300" s="1">
        <v>49</v>
      </c>
      <c r="K300" s="1">
        <v>1</v>
      </c>
      <c r="L300" s="1">
        <v>121</v>
      </c>
      <c r="M300" s="1">
        <v>132</v>
      </c>
      <c r="N300" s="1" t="s">
        <v>6</v>
      </c>
      <c r="O300" s="1" t="s">
        <v>5109</v>
      </c>
      <c r="P300" s="3" t="str">
        <f>HYPERLINK("http://dx.doi.org/10.4067/S0717-73562017005000002","http://dx.doi.org/10.4067/S0717-73562017005000002")</f>
        <v>http://dx.doi.org/10.4067/S0717-73562017005000002</v>
      </c>
    </row>
    <row r="301" spans="1:16" ht="15.75" customHeight="1">
      <c r="A301" s="1" t="s">
        <v>10</v>
      </c>
      <c r="B301" s="1" t="s">
        <v>4351</v>
      </c>
      <c r="C301" s="1" t="s">
        <v>4352</v>
      </c>
      <c r="D301" s="1" t="s">
        <v>1500</v>
      </c>
      <c r="E301" s="1" t="s">
        <v>4353</v>
      </c>
      <c r="F301" s="1" t="s">
        <v>4354</v>
      </c>
      <c r="H301" s="1">
        <v>0</v>
      </c>
      <c r="I301" s="1">
        <v>2017</v>
      </c>
      <c r="K301" s="1">
        <v>66</v>
      </c>
    </row>
    <row r="302" spans="1:16" ht="15.75" customHeight="1">
      <c r="A302" s="1" t="s">
        <v>0</v>
      </c>
      <c r="B302" s="1" t="s">
        <v>3801</v>
      </c>
      <c r="C302" s="1" t="s">
        <v>3802</v>
      </c>
      <c r="D302" s="1" t="s">
        <v>1009</v>
      </c>
      <c r="E302" s="1" t="s">
        <v>3803</v>
      </c>
      <c r="F302" s="1" t="s">
        <v>3804</v>
      </c>
      <c r="G302" s="1">
        <v>97</v>
      </c>
      <c r="H302" s="1">
        <v>0</v>
      </c>
      <c r="I302" s="1">
        <v>2017</v>
      </c>
      <c r="J302" s="1">
        <v>23</v>
      </c>
      <c r="K302" s="1">
        <v>94</v>
      </c>
      <c r="L302" s="1">
        <v>125</v>
      </c>
      <c r="M302" s="1">
        <v>165</v>
      </c>
      <c r="N302" s="1" t="s">
        <v>6</v>
      </c>
      <c r="O302" s="1" t="s">
        <v>3805</v>
      </c>
      <c r="P302" s="3" t="str">
        <f>HYPERLINK("http://dx.doi.org/10.22185/24487147.2017.94.034","http://dx.doi.org/10.22185/24487147.2017.94.034")</f>
        <v>http://dx.doi.org/10.22185/24487147.2017.94.034</v>
      </c>
    </row>
    <row r="303" spans="1:16" ht="15.75" customHeight="1">
      <c r="A303" s="1" t="s">
        <v>0</v>
      </c>
      <c r="B303" s="1" t="s">
        <v>5494</v>
      </c>
      <c r="C303" s="1" t="s">
        <v>5495</v>
      </c>
      <c r="D303" s="1" t="s">
        <v>696</v>
      </c>
      <c r="E303" s="1" t="s">
        <v>5496</v>
      </c>
      <c r="F303" s="1" t="s">
        <v>5497</v>
      </c>
      <c r="G303" s="1">
        <v>59</v>
      </c>
      <c r="H303" s="1">
        <v>0</v>
      </c>
      <c r="I303" s="1">
        <v>2017</v>
      </c>
      <c r="J303" s="1">
        <v>16</v>
      </c>
      <c r="K303" s="1">
        <v>5</v>
      </c>
      <c r="L303" s="1" t="s">
        <v>6</v>
      </c>
      <c r="M303" s="1" t="s">
        <v>6</v>
      </c>
      <c r="N303" s="1" t="s">
        <v>6</v>
      </c>
      <c r="O303" s="1" t="s">
        <v>5498</v>
      </c>
      <c r="P303" s="3" t="str">
        <f>HYPERLINK("http://dx.doi.org/10.11144/Javeriana.upsy16-5.mcto","http://dx.doi.org/10.11144/Javeriana.upsy16-5.mcto")</f>
        <v>http://dx.doi.org/10.11144/Javeriana.upsy16-5.mcto</v>
      </c>
    </row>
    <row r="304" spans="1:16" ht="15.75" customHeight="1">
      <c r="A304" s="1" t="s">
        <v>0</v>
      </c>
      <c r="B304" s="1" t="s">
        <v>1195</v>
      </c>
      <c r="C304" s="1" t="s">
        <v>1196</v>
      </c>
      <c r="D304" s="1" t="s">
        <v>696</v>
      </c>
      <c r="E304" s="1" t="s">
        <v>1197</v>
      </c>
      <c r="F304" s="1" t="s">
        <v>1198</v>
      </c>
      <c r="G304" s="1">
        <v>52</v>
      </c>
      <c r="H304" s="1">
        <v>0</v>
      </c>
      <c r="I304" s="1">
        <v>2017</v>
      </c>
      <c r="J304" s="1">
        <v>16</v>
      </c>
      <c r="K304" s="1">
        <v>5</v>
      </c>
      <c r="L304" s="1" t="s">
        <v>6</v>
      </c>
      <c r="M304" s="1" t="s">
        <v>6</v>
      </c>
      <c r="N304" s="1" t="s">
        <v>6</v>
      </c>
      <c r="O304" s="1" t="s">
        <v>1199</v>
      </c>
      <c r="P304" s="3" t="str">
        <f>HYPERLINK("http://dx.doi.org/10.11144/Javeriana.upsy16-5.ipet","http://dx.doi.org/10.11144/Javeriana.upsy16-5.ipet")</f>
        <v>http://dx.doi.org/10.11144/Javeriana.upsy16-5.ipet</v>
      </c>
    </row>
    <row r="305" spans="1:16" ht="15.75" customHeight="1">
      <c r="A305" s="1" t="s">
        <v>0</v>
      </c>
      <c r="B305" s="1" t="s">
        <v>6820</v>
      </c>
      <c r="C305" s="1" t="s">
        <v>6821</v>
      </c>
      <c r="D305" s="1" t="s">
        <v>4613</v>
      </c>
      <c r="E305" s="1" t="s">
        <v>6822</v>
      </c>
      <c r="F305" s="1" t="s">
        <v>6823</v>
      </c>
      <c r="G305" s="1">
        <v>37</v>
      </c>
      <c r="H305" s="1">
        <v>0</v>
      </c>
      <c r="I305" s="1">
        <v>2017</v>
      </c>
      <c r="K305" s="1" t="s">
        <v>6824</v>
      </c>
    </row>
    <row r="306" spans="1:16" ht="15.75" customHeight="1">
      <c r="A306" s="1" t="s">
        <v>0</v>
      </c>
      <c r="B306" s="1" t="s">
        <v>5064</v>
      </c>
      <c r="C306" s="1" t="s">
        <v>5065</v>
      </c>
      <c r="D306" s="1" t="s">
        <v>696</v>
      </c>
      <c r="E306" s="1" t="s">
        <v>5066</v>
      </c>
      <c r="F306" s="1" t="s">
        <v>5067</v>
      </c>
      <c r="G306" s="1">
        <v>38</v>
      </c>
      <c r="H306" s="1">
        <v>0</v>
      </c>
      <c r="I306" s="1">
        <v>2017</v>
      </c>
      <c r="J306" s="1">
        <v>16</v>
      </c>
      <c r="K306" s="1">
        <v>5</v>
      </c>
      <c r="L306" s="1" t="s">
        <v>6</v>
      </c>
      <c r="M306" s="1" t="s">
        <v>6</v>
      </c>
      <c r="N306" s="1" t="s">
        <v>6</v>
      </c>
      <c r="O306" s="1" t="s">
        <v>5068</v>
      </c>
      <c r="P306" s="3" t="str">
        <f>HYPERLINK("http://dx.doi.org/10.11144/Javeriana.upsy16-5.fvlr","http://dx.doi.org/10.11144/Javeriana.upsy16-5.fvlr")</f>
        <v>http://dx.doi.org/10.11144/Javeriana.upsy16-5.fvlr</v>
      </c>
    </row>
    <row r="307" spans="1:16" ht="15.75" customHeight="1">
      <c r="A307" s="1" t="s">
        <v>0</v>
      </c>
      <c r="B307" s="1" t="s">
        <v>5907</v>
      </c>
      <c r="C307" s="1" t="s">
        <v>5908</v>
      </c>
      <c r="D307" s="1" t="s">
        <v>1639</v>
      </c>
      <c r="E307" s="1" t="s">
        <v>5909</v>
      </c>
      <c r="F307" s="1" t="s">
        <v>5910</v>
      </c>
      <c r="G307" s="1">
        <v>35</v>
      </c>
      <c r="H307" s="1">
        <v>0</v>
      </c>
      <c r="I307" s="1">
        <v>2017</v>
      </c>
      <c r="J307" s="1">
        <v>14</v>
      </c>
      <c r="K307" s="1">
        <v>34</v>
      </c>
      <c r="L307" s="1">
        <v>283</v>
      </c>
      <c r="M307" s="1">
        <v>303</v>
      </c>
      <c r="N307" s="1" t="s">
        <v>6</v>
      </c>
      <c r="O307" s="1" t="s">
        <v>6</v>
      </c>
      <c r="P307" s="1" t="s">
        <v>6</v>
      </c>
    </row>
    <row r="308" spans="1:16" ht="15.75" customHeight="1">
      <c r="A308" s="1" t="s">
        <v>0</v>
      </c>
      <c r="B308" s="1" t="s">
        <v>6548</v>
      </c>
      <c r="C308" s="1" t="s">
        <v>6549</v>
      </c>
      <c r="D308" s="1" t="s">
        <v>52</v>
      </c>
      <c r="E308" s="1" t="s">
        <v>6550</v>
      </c>
      <c r="F308" s="1" t="s">
        <v>6551</v>
      </c>
      <c r="G308" s="1">
        <v>51</v>
      </c>
      <c r="H308" s="1">
        <v>167</v>
      </c>
      <c r="I308" s="1">
        <v>2018</v>
      </c>
      <c r="J308" s="1">
        <v>17</v>
      </c>
      <c r="K308" s="1" t="s">
        <v>3045</v>
      </c>
      <c r="O308" s="1" t="s">
        <v>6552</v>
      </c>
    </row>
    <row r="309" spans="1:16" ht="15.75" customHeight="1">
      <c r="A309" s="1" t="s">
        <v>10</v>
      </c>
      <c r="B309" s="1" t="s">
        <v>5421</v>
      </c>
      <c r="C309" s="1" t="s">
        <v>5422</v>
      </c>
      <c r="D309" s="1" t="s">
        <v>1451</v>
      </c>
      <c r="E309" s="1" t="s">
        <v>5423</v>
      </c>
      <c r="F309" s="1" t="s">
        <v>5424</v>
      </c>
      <c r="H309" s="1">
        <v>85</v>
      </c>
      <c r="I309" s="1">
        <v>2018</v>
      </c>
      <c r="J309" s="1">
        <v>42</v>
      </c>
      <c r="K309" s="1">
        <v>6</v>
      </c>
      <c r="O309" s="1" t="s">
        <v>5425</v>
      </c>
    </row>
    <row r="310" spans="1:16" ht="15.75" customHeight="1">
      <c r="A310" s="1" t="s">
        <v>10</v>
      </c>
      <c r="B310" s="1" t="s">
        <v>4596</v>
      </c>
      <c r="C310" s="1" t="s">
        <v>4597</v>
      </c>
      <c r="D310" s="1" t="s">
        <v>88</v>
      </c>
      <c r="E310" s="1" t="s">
        <v>4598</v>
      </c>
      <c r="F310" s="1" t="s">
        <v>4599</v>
      </c>
      <c r="H310" s="1">
        <v>72</v>
      </c>
      <c r="I310" s="1">
        <v>2018</v>
      </c>
      <c r="J310" s="1">
        <v>101</v>
      </c>
      <c r="O310" s="1" t="s">
        <v>4600</v>
      </c>
    </row>
    <row r="311" spans="1:16" ht="15.75" customHeight="1">
      <c r="A311" s="1" t="s">
        <v>0</v>
      </c>
      <c r="B311" s="1" t="s">
        <v>5306</v>
      </c>
      <c r="C311" s="1" t="s">
        <v>5307</v>
      </c>
      <c r="D311" s="1" t="s">
        <v>5308</v>
      </c>
      <c r="E311" s="1" t="s">
        <v>5309</v>
      </c>
      <c r="F311" s="1" t="s">
        <v>5310</v>
      </c>
      <c r="G311" s="1">
        <v>65</v>
      </c>
      <c r="H311" s="1">
        <v>61</v>
      </c>
      <c r="I311" s="1">
        <v>2018</v>
      </c>
      <c r="J311" s="1">
        <v>108</v>
      </c>
      <c r="K311" s="1" t="s">
        <v>6</v>
      </c>
      <c r="L311" s="1">
        <v>263</v>
      </c>
      <c r="M311" s="1">
        <v>273</v>
      </c>
      <c r="N311" s="1" t="s">
        <v>6</v>
      </c>
      <c r="O311" s="1" t="s">
        <v>5311</v>
      </c>
      <c r="P311" s="3" t="str">
        <f>HYPERLINK("http://dx.doi.org/10.1016/j.worlddev.2017.04.023","http://dx.doi.org/10.1016/j.worlddev.2017.04.023")</f>
        <v>http://dx.doi.org/10.1016/j.worlddev.2017.04.023</v>
      </c>
    </row>
    <row r="312" spans="1:16" ht="15.75" customHeight="1">
      <c r="A312" s="1" t="s">
        <v>10</v>
      </c>
      <c r="B312" s="1" t="s">
        <v>128</v>
      </c>
      <c r="C312" s="1" t="s">
        <v>129</v>
      </c>
      <c r="D312" s="1" t="s">
        <v>130</v>
      </c>
      <c r="E312" s="1" t="s">
        <v>131</v>
      </c>
      <c r="F312" s="1" t="s">
        <v>132</v>
      </c>
      <c r="H312" s="1">
        <v>43</v>
      </c>
      <c r="I312" s="1">
        <v>2018</v>
      </c>
      <c r="J312" s="1">
        <v>10</v>
      </c>
      <c r="K312" s="1">
        <v>1</v>
      </c>
      <c r="O312" s="1" t="s">
        <v>133</v>
      </c>
    </row>
    <row r="313" spans="1:16" ht="15.75" customHeight="1">
      <c r="A313" s="1" t="s">
        <v>0</v>
      </c>
      <c r="B313" s="1" t="s">
        <v>5617</v>
      </c>
      <c r="C313" s="1" t="s">
        <v>5618</v>
      </c>
      <c r="D313" s="1" t="s">
        <v>5619</v>
      </c>
      <c r="E313" s="1" t="s">
        <v>5620</v>
      </c>
      <c r="F313" s="1" t="s">
        <v>5621</v>
      </c>
      <c r="G313" s="1">
        <v>62</v>
      </c>
      <c r="H313" s="1">
        <v>42</v>
      </c>
      <c r="I313" s="1">
        <v>2018</v>
      </c>
      <c r="J313" s="1">
        <v>72</v>
      </c>
      <c r="K313" s="1">
        <v>2</v>
      </c>
      <c r="L313" s="1">
        <v>253</v>
      </c>
      <c r="M313" s="1">
        <v>273</v>
      </c>
      <c r="N313" s="1" t="s">
        <v>6</v>
      </c>
      <c r="O313" s="1" t="s">
        <v>5622</v>
      </c>
      <c r="P313" s="3" t="str">
        <f>HYPERLINK("http://dx.doi.org/10.1080/00324728.2017.1416155","http://dx.doi.org/10.1080/00324728.2017.1416155")</f>
        <v>http://dx.doi.org/10.1080/00324728.2017.1416155</v>
      </c>
    </row>
    <row r="314" spans="1:16" ht="15.75" customHeight="1">
      <c r="A314" s="1" t="s">
        <v>10</v>
      </c>
      <c r="B314" s="1" t="s">
        <v>1839</v>
      </c>
      <c r="C314" s="1" t="s">
        <v>1840</v>
      </c>
      <c r="D314" s="1" t="s">
        <v>1841</v>
      </c>
      <c r="E314" s="1" t="s">
        <v>1842</v>
      </c>
      <c r="F314" s="1" t="s">
        <v>1843</v>
      </c>
      <c r="H314" s="1">
        <v>34</v>
      </c>
      <c r="I314" s="1">
        <v>2018</v>
      </c>
      <c r="J314" s="1">
        <v>134</v>
      </c>
      <c r="O314" s="1" t="s">
        <v>1844</v>
      </c>
    </row>
    <row r="315" spans="1:16" ht="15.75" customHeight="1">
      <c r="A315" s="1" t="s">
        <v>10</v>
      </c>
      <c r="B315" s="1" t="s">
        <v>672</v>
      </c>
      <c r="C315" s="1" t="s">
        <v>673</v>
      </c>
      <c r="D315" s="1" t="s">
        <v>674</v>
      </c>
      <c r="E315" s="1" t="s">
        <v>675</v>
      </c>
      <c r="F315" s="1" t="s">
        <v>676</v>
      </c>
      <c r="H315" s="1">
        <v>32</v>
      </c>
      <c r="I315" s="1">
        <v>2018</v>
      </c>
      <c r="J315" s="1">
        <v>45</v>
      </c>
      <c r="K315" s="1">
        <v>1</v>
      </c>
      <c r="O315" s="1" t="s">
        <v>677</v>
      </c>
    </row>
    <row r="316" spans="1:16" ht="15.75" customHeight="1">
      <c r="A316" s="1" t="s">
        <v>0</v>
      </c>
      <c r="B316" s="1" t="s">
        <v>4372</v>
      </c>
      <c r="C316" s="1" t="s">
        <v>4373</v>
      </c>
      <c r="D316" s="1" t="s">
        <v>201</v>
      </c>
      <c r="E316" s="1" t="s">
        <v>4374</v>
      </c>
      <c r="F316" s="1" t="s">
        <v>4375</v>
      </c>
      <c r="G316" s="1">
        <v>43</v>
      </c>
      <c r="H316" s="1">
        <v>23</v>
      </c>
      <c r="I316" s="1">
        <v>2018</v>
      </c>
      <c r="J316" s="1" t="s">
        <v>6</v>
      </c>
      <c r="K316" s="1">
        <v>57</v>
      </c>
      <c r="L316" s="1">
        <v>181</v>
      </c>
      <c r="M316" s="1">
        <v>201</v>
      </c>
      <c r="N316" s="1" t="s">
        <v>6</v>
      </c>
      <c r="O316" s="1" t="s">
        <v>4376</v>
      </c>
      <c r="P316" s="3" t="str">
        <f>HYPERLINK("http://dx.doi.org/10.4067/S0718-10432018005000101","http://dx.doi.org/10.4067/S0718-10432018005000101")</f>
        <v>http://dx.doi.org/10.4067/S0718-10432018005000101</v>
      </c>
    </row>
    <row r="317" spans="1:16" ht="15.75" customHeight="1">
      <c r="A317" s="1" t="s">
        <v>0</v>
      </c>
      <c r="B317" s="4" t="s">
        <v>6206</v>
      </c>
      <c r="C317" s="1" t="s">
        <v>6207</v>
      </c>
      <c r="D317" s="1" t="s">
        <v>52</v>
      </c>
      <c r="E317" s="1" t="s">
        <v>6208</v>
      </c>
      <c r="F317" s="1" t="s">
        <v>6209</v>
      </c>
      <c r="G317" s="1">
        <v>108</v>
      </c>
      <c r="H317" s="1">
        <v>21</v>
      </c>
      <c r="I317" s="1">
        <v>2018</v>
      </c>
      <c r="J317" s="1">
        <v>17</v>
      </c>
      <c r="K317" s="1" t="s">
        <v>3045</v>
      </c>
      <c r="O317" s="1" t="s">
        <v>6210</v>
      </c>
    </row>
    <row r="318" spans="1:16" ht="15.75" customHeight="1">
      <c r="A318" s="1" t="s">
        <v>0</v>
      </c>
      <c r="B318" s="1" t="s">
        <v>877</v>
      </c>
      <c r="C318" s="1" t="s">
        <v>878</v>
      </c>
      <c r="D318" s="1" t="s">
        <v>879</v>
      </c>
      <c r="E318" s="1" t="s">
        <v>880</v>
      </c>
      <c r="F318" s="1" t="s">
        <v>881</v>
      </c>
      <c r="G318" s="1">
        <v>87</v>
      </c>
      <c r="H318" s="1">
        <v>20</v>
      </c>
      <c r="I318" s="1">
        <v>2018</v>
      </c>
      <c r="J318" s="1">
        <v>13</v>
      </c>
      <c r="K318" s="1" t="s">
        <v>882</v>
      </c>
    </row>
    <row r="319" spans="1:16" ht="15.75" customHeight="1">
      <c r="A319" s="1" t="s">
        <v>10</v>
      </c>
      <c r="B319" s="1" t="s">
        <v>956</v>
      </c>
      <c r="C319" s="1" t="s">
        <v>957</v>
      </c>
      <c r="D319" s="1" t="s">
        <v>500</v>
      </c>
      <c r="E319" s="1" t="s">
        <v>958</v>
      </c>
      <c r="F319" s="1" t="s">
        <v>959</v>
      </c>
      <c r="H319" s="1">
        <v>19</v>
      </c>
      <c r="I319" s="1">
        <v>2018</v>
      </c>
      <c r="J319" s="1">
        <v>55</v>
      </c>
      <c r="K319" s="1">
        <v>3</v>
      </c>
      <c r="O319" s="1" t="s">
        <v>960</v>
      </c>
    </row>
    <row r="320" spans="1:16" ht="15.75" customHeight="1">
      <c r="A320" s="1" t="s">
        <v>0</v>
      </c>
      <c r="B320" s="1" t="s">
        <v>4915</v>
      </c>
      <c r="C320" s="1" t="s">
        <v>4916</v>
      </c>
      <c r="D320" s="1" t="s">
        <v>4646</v>
      </c>
      <c r="E320" s="1" t="s">
        <v>4917</v>
      </c>
      <c r="F320" s="1" t="s">
        <v>4918</v>
      </c>
      <c r="G320" s="1">
        <v>49</v>
      </c>
      <c r="H320" s="1">
        <v>17</v>
      </c>
      <c r="I320" s="1">
        <v>2018</v>
      </c>
      <c r="J320" s="1">
        <v>97</v>
      </c>
      <c r="K320" s="1">
        <v>4</v>
      </c>
      <c r="L320" s="1">
        <v>1337</v>
      </c>
      <c r="M320" s="1" t="s">
        <v>1395</v>
      </c>
      <c r="N320" s="1" t="s">
        <v>6</v>
      </c>
      <c r="O320" s="1" t="s">
        <v>4919</v>
      </c>
      <c r="P320" s="3" t="str">
        <f>HYPERLINK("http://dx.doi.org/10.1111/pirs.12296","http://dx.doi.org/10.1111/pirs.12296")</f>
        <v>http://dx.doi.org/10.1111/pirs.12296</v>
      </c>
    </row>
    <row r="321" spans="1:16" ht="15.75" customHeight="1">
      <c r="A321" s="1" t="s">
        <v>0</v>
      </c>
      <c r="B321" s="1" t="s">
        <v>774</v>
      </c>
      <c r="C321" s="1" t="s">
        <v>775</v>
      </c>
      <c r="D321" s="1" t="s">
        <v>776</v>
      </c>
      <c r="E321" s="8" t="s">
        <v>7111</v>
      </c>
      <c r="F321" s="1" t="s">
        <v>777</v>
      </c>
      <c r="G321" s="1">
        <v>50</v>
      </c>
      <c r="H321" s="1">
        <v>16</v>
      </c>
      <c r="I321" s="1">
        <v>2018</v>
      </c>
      <c r="J321" s="1">
        <v>52</v>
      </c>
      <c r="K321" s="1">
        <v>2</v>
      </c>
      <c r="L321" s="1">
        <v>524</v>
      </c>
      <c r="M321" s="1">
        <v>558</v>
      </c>
      <c r="N321" s="1" t="s">
        <v>6</v>
      </c>
      <c r="O321" s="1" t="s">
        <v>778</v>
      </c>
      <c r="P321" s="3" t="str">
        <f>HYPERLINK("http://dx.doi.org/10.1111/imre.12309","http://dx.doi.org/10.1111/imre.12309")</f>
        <v>http://dx.doi.org/10.1111/imre.12309</v>
      </c>
    </row>
    <row r="322" spans="1:16" ht="15.75" customHeight="1">
      <c r="A322" s="1" t="s">
        <v>10</v>
      </c>
      <c r="B322" s="1" t="s">
        <v>4971</v>
      </c>
      <c r="C322" s="1" t="s">
        <v>4972</v>
      </c>
      <c r="D322" s="1" t="s">
        <v>70</v>
      </c>
      <c r="E322" s="1" t="s">
        <v>4973</v>
      </c>
      <c r="F322" s="1" t="s">
        <v>4974</v>
      </c>
      <c r="H322" s="1">
        <v>16</v>
      </c>
      <c r="I322" s="1">
        <v>2018</v>
      </c>
      <c r="J322" s="1">
        <v>9</v>
      </c>
      <c r="K322" s="1">
        <v>35</v>
      </c>
      <c r="O322" s="1" t="s">
        <v>4975</v>
      </c>
    </row>
    <row r="323" spans="1:16" ht="15.75" customHeight="1">
      <c r="A323" s="1" t="s">
        <v>10</v>
      </c>
      <c r="B323" s="1" t="s">
        <v>3674</v>
      </c>
      <c r="C323" s="1" t="s">
        <v>3675</v>
      </c>
      <c r="D323" s="1" t="s">
        <v>3676</v>
      </c>
      <c r="F323" s="1" t="s">
        <v>3677</v>
      </c>
      <c r="H323" s="1">
        <v>15</v>
      </c>
      <c r="I323" s="1">
        <v>2018</v>
      </c>
      <c r="J323" s="1">
        <v>45</v>
      </c>
      <c r="K323" s="1">
        <v>3</v>
      </c>
      <c r="O323" s="1" t="s">
        <v>3678</v>
      </c>
    </row>
    <row r="324" spans="1:16" ht="15.75" customHeight="1">
      <c r="A324" s="1" t="s">
        <v>10</v>
      </c>
      <c r="B324" s="1" t="s">
        <v>6155</v>
      </c>
      <c r="C324" s="1" t="s">
        <v>6156</v>
      </c>
      <c r="D324" s="1" t="s">
        <v>760</v>
      </c>
      <c r="E324" s="1" t="s">
        <v>6157</v>
      </c>
      <c r="F324" s="1" t="s">
        <v>6158</v>
      </c>
      <c r="H324" s="1">
        <v>13</v>
      </c>
      <c r="I324" s="1">
        <v>2018</v>
      </c>
      <c r="J324" s="1">
        <v>44</v>
      </c>
      <c r="K324" s="1">
        <v>16</v>
      </c>
      <c r="O324" s="1" t="s">
        <v>6159</v>
      </c>
    </row>
    <row r="325" spans="1:16" ht="15.75" customHeight="1">
      <c r="A325" s="1" t="s">
        <v>10</v>
      </c>
      <c r="B325" s="1" t="s">
        <v>1165</v>
      </c>
      <c r="C325" s="1" t="s">
        <v>1166</v>
      </c>
      <c r="D325" s="1" t="s">
        <v>1167</v>
      </c>
      <c r="E325" s="1" t="s">
        <v>1168</v>
      </c>
      <c r="F325" s="1" t="s">
        <v>1169</v>
      </c>
      <c r="H325" s="1">
        <v>12</v>
      </c>
      <c r="I325" s="1">
        <v>2018</v>
      </c>
      <c r="J325" s="1">
        <v>26</v>
      </c>
      <c r="K325" s="1">
        <v>5</v>
      </c>
      <c r="O325" s="1" t="s">
        <v>1170</v>
      </c>
    </row>
    <row r="326" spans="1:16" ht="15.75" customHeight="1">
      <c r="A326" s="1" t="s">
        <v>10</v>
      </c>
      <c r="B326" s="1" t="s">
        <v>6900</v>
      </c>
      <c r="C326" s="1" t="s">
        <v>6901</v>
      </c>
      <c r="D326" s="1" t="s">
        <v>6902</v>
      </c>
      <c r="E326" s="1" t="s">
        <v>6903</v>
      </c>
      <c r="F326" s="1" t="s">
        <v>6904</v>
      </c>
      <c r="H326" s="1">
        <v>11</v>
      </c>
      <c r="I326" s="1">
        <v>2018</v>
      </c>
      <c r="J326" s="1">
        <v>21</v>
      </c>
      <c r="K326" s="1">
        <v>5</v>
      </c>
      <c r="O326" s="1" t="s">
        <v>6905</v>
      </c>
    </row>
    <row r="327" spans="1:16" ht="15.75" customHeight="1">
      <c r="A327" s="1" t="s">
        <v>0</v>
      </c>
      <c r="B327" s="1" t="s">
        <v>2486</v>
      </c>
      <c r="C327" s="1" t="s">
        <v>2487</v>
      </c>
      <c r="D327" s="1" t="s">
        <v>2488</v>
      </c>
      <c r="E327" s="1" t="s">
        <v>2489</v>
      </c>
      <c r="F327" s="1" t="s">
        <v>2490</v>
      </c>
      <c r="G327" s="1">
        <v>67</v>
      </c>
      <c r="H327" s="1">
        <v>11</v>
      </c>
      <c r="I327" s="1">
        <v>2018</v>
      </c>
      <c r="J327" s="1">
        <v>25</v>
      </c>
      <c r="K327" s="1">
        <v>2</v>
      </c>
      <c r="L327" s="1">
        <v>228</v>
      </c>
      <c r="M327" s="1">
        <v>247</v>
      </c>
      <c r="N327" s="1" t="s">
        <v>6</v>
      </c>
      <c r="O327" s="1" t="s">
        <v>2491</v>
      </c>
      <c r="P327" s="3" t="str">
        <f>HYPERLINK("http://dx.doi.org/10.1080/0966369X.2018.1428534","http://dx.doi.org/10.1080/0966369X.2018.1428534")</f>
        <v>http://dx.doi.org/10.1080/0966369X.2018.1428534</v>
      </c>
    </row>
    <row r="328" spans="1:16" ht="15.75" customHeight="1">
      <c r="A328" s="1" t="s">
        <v>10</v>
      </c>
      <c r="B328" s="1" t="s">
        <v>6894</v>
      </c>
      <c r="C328" s="1" t="s">
        <v>6895</v>
      </c>
      <c r="D328" s="1" t="s">
        <v>6896</v>
      </c>
      <c r="E328" s="1" t="s">
        <v>6897</v>
      </c>
      <c r="F328" s="1" t="s">
        <v>6898</v>
      </c>
      <c r="H328" s="1">
        <v>9</v>
      </c>
      <c r="I328" s="1">
        <v>2018</v>
      </c>
      <c r="J328" s="1">
        <v>51</v>
      </c>
      <c r="K328" s="1" t="s">
        <v>820</v>
      </c>
      <c r="O328" s="1" t="s">
        <v>6899</v>
      </c>
    </row>
    <row r="329" spans="1:16" ht="15.75" customHeight="1">
      <c r="A329" s="1" t="s">
        <v>0</v>
      </c>
      <c r="B329" s="1" t="s">
        <v>6301</v>
      </c>
      <c r="C329" s="1" t="s">
        <v>6302</v>
      </c>
      <c r="D329" s="2" t="s">
        <v>4369</v>
      </c>
      <c r="E329" s="1" t="s">
        <v>6303</v>
      </c>
      <c r="F329" s="1" t="s">
        <v>6304</v>
      </c>
      <c r="G329" s="1">
        <v>46</v>
      </c>
      <c r="H329" s="1">
        <v>9</v>
      </c>
      <c r="I329" s="1">
        <v>2018</v>
      </c>
      <c r="K329" s="1" t="s">
        <v>6305</v>
      </c>
    </row>
    <row r="330" spans="1:16" ht="15.75" customHeight="1">
      <c r="A330" s="1" t="s">
        <v>0</v>
      </c>
      <c r="B330" s="1" t="s">
        <v>1476</v>
      </c>
      <c r="C330" s="1" t="s">
        <v>1477</v>
      </c>
      <c r="D330" s="1" t="s">
        <v>1478</v>
      </c>
      <c r="E330" s="1" t="s">
        <v>1479</v>
      </c>
      <c r="F330" s="1" t="s">
        <v>1480</v>
      </c>
      <c r="G330" s="1">
        <v>35</v>
      </c>
      <c r="H330" s="1">
        <v>8</v>
      </c>
      <c r="I330" s="1">
        <v>2018</v>
      </c>
      <c r="K330" s="1" t="s">
        <v>1481</v>
      </c>
      <c r="O330" s="1" t="s">
        <v>1482</v>
      </c>
    </row>
    <row r="331" spans="1:16" ht="15.75" customHeight="1">
      <c r="A331" s="1" t="s">
        <v>0</v>
      </c>
      <c r="B331" s="1" t="s">
        <v>2507</v>
      </c>
      <c r="C331" s="1" t="s">
        <v>2508</v>
      </c>
      <c r="D331" s="1" t="s">
        <v>58</v>
      </c>
      <c r="E331" s="1" t="s">
        <v>2509</v>
      </c>
      <c r="F331" s="1" t="s">
        <v>2510</v>
      </c>
      <c r="G331" s="1">
        <v>51</v>
      </c>
      <c r="H331" s="1">
        <v>8</v>
      </c>
      <c r="I331" s="1">
        <v>2018</v>
      </c>
      <c r="J331" s="1">
        <v>18</v>
      </c>
      <c r="K331" s="1" t="s">
        <v>378</v>
      </c>
    </row>
    <row r="332" spans="1:16" ht="15.75" customHeight="1">
      <c r="A332" s="1" t="s">
        <v>0</v>
      </c>
      <c r="B332" s="1" t="s">
        <v>4991</v>
      </c>
      <c r="C332" s="1" t="s">
        <v>4992</v>
      </c>
      <c r="D332" s="1" t="s">
        <v>963</v>
      </c>
      <c r="E332" s="8" t="s">
        <v>7115</v>
      </c>
      <c r="F332" s="1" t="s">
        <v>4993</v>
      </c>
      <c r="G332" s="1">
        <v>45</v>
      </c>
      <c r="H332" s="1">
        <v>7</v>
      </c>
      <c r="I332" s="1">
        <v>2018</v>
      </c>
      <c r="J332" s="1">
        <v>56</v>
      </c>
      <c r="K332" s="1">
        <v>2</v>
      </c>
      <c r="L332" s="1">
        <v>82</v>
      </c>
      <c r="M332" s="1">
        <v>96</v>
      </c>
      <c r="N332" s="1" t="s">
        <v>6</v>
      </c>
      <c r="O332" s="1" t="s">
        <v>4994</v>
      </c>
      <c r="P332" s="3" t="str">
        <f>HYPERLINK("http://dx.doi.org/10.1111/imig.12410","http://dx.doi.org/10.1111/imig.12410")</f>
        <v>http://dx.doi.org/10.1111/imig.12410</v>
      </c>
    </row>
    <row r="333" spans="1:16" ht="15.75" customHeight="1">
      <c r="A333" s="1" t="s">
        <v>10</v>
      </c>
      <c r="B333" s="1" t="s">
        <v>3016</v>
      </c>
      <c r="C333" s="1" t="s">
        <v>3017</v>
      </c>
      <c r="D333" s="1" t="s">
        <v>3018</v>
      </c>
      <c r="E333" s="1" t="s">
        <v>3019</v>
      </c>
      <c r="F333" s="1" t="s">
        <v>3020</v>
      </c>
      <c r="H333" s="1">
        <v>7</v>
      </c>
      <c r="I333" s="1">
        <v>2018</v>
      </c>
      <c r="J333" s="1">
        <v>62</v>
      </c>
      <c r="O333" s="1" t="s">
        <v>3021</v>
      </c>
    </row>
    <row r="334" spans="1:16" ht="15.75" customHeight="1">
      <c r="A334" s="1" t="s">
        <v>10</v>
      </c>
      <c r="B334" s="1" t="s">
        <v>5167</v>
      </c>
      <c r="C334" s="1" t="s">
        <v>5168</v>
      </c>
      <c r="D334" s="2" t="s">
        <v>5169</v>
      </c>
      <c r="E334" s="1" t="s">
        <v>5170</v>
      </c>
      <c r="F334" s="1" t="s">
        <v>5171</v>
      </c>
      <c r="H334" s="1">
        <v>7</v>
      </c>
      <c r="I334" s="1">
        <v>2018</v>
      </c>
      <c r="J334" s="1">
        <v>25</v>
      </c>
      <c r="K334" s="1">
        <v>4</v>
      </c>
      <c r="O334" s="1" t="s">
        <v>5172</v>
      </c>
    </row>
    <row r="335" spans="1:16" ht="15.75" customHeight="1">
      <c r="A335" s="1" t="s">
        <v>0</v>
      </c>
      <c r="B335" s="1" t="s">
        <v>5110</v>
      </c>
      <c r="C335" s="1" t="s">
        <v>5111</v>
      </c>
      <c r="D335" s="2" t="s">
        <v>5112</v>
      </c>
      <c r="E335" s="1" t="s">
        <v>5113</v>
      </c>
      <c r="F335" s="1" t="s">
        <v>5114</v>
      </c>
      <c r="G335" s="1">
        <v>26</v>
      </c>
      <c r="H335" s="1">
        <v>7</v>
      </c>
      <c r="I335" s="1">
        <v>2018</v>
      </c>
      <c r="J335" s="1">
        <v>39</v>
      </c>
      <c r="K335" s="1" t="s">
        <v>5115</v>
      </c>
      <c r="O335" s="1" t="s">
        <v>5116</v>
      </c>
    </row>
    <row r="336" spans="1:16" ht="15.75" customHeight="1">
      <c r="A336" s="1" t="s">
        <v>10</v>
      </c>
      <c r="B336" s="1" t="s">
        <v>4840</v>
      </c>
      <c r="C336" s="1" t="s">
        <v>4841</v>
      </c>
      <c r="D336" s="1" t="s">
        <v>4842</v>
      </c>
      <c r="E336" s="1" t="s">
        <v>4843</v>
      </c>
      <c r="F336" s="1" t="s">
        <v>4844</v>
      </c>
      <c r="H336" s="1">
        <v>6</v>
      </c>
      <c r="I336" s="1">
        <v>2018</v>
      </c>
      <c r="J336" s="1">
        <v>16</v>
      </c>
      <c r="K336" s="1">
        <v>2</v>
      </c>
      <c r="O336" s="1" t="s">
        <v>4845</v>
      </c>
    </row>
    <row r="337" spans="1:16" ht="15.75" customHeight="1">
      <c r="A337" s="1" t="s">
        <v>10</v>
      </c>
      <c r="B337" s="1" t="s">
        <v>4670</v>
      </c>
      <c r="C337" s="1" t="s">
        <v>4671</v>
      </c>
      <c r="D337" s="1" t="s">
        <v>650</v>
      </c>
      <c r="E337" s="1" t="s">
        <v>4672</v>
      </c>
      <c r="F337" s="1" t="s">
        <v>4673</v>
      </c>
      <c r="H337" s="1">
        <v>6</v>
      </c>
      <c r="I337" s="1">
        <v>2018</v>
      </c>
      <c r="J337" s="1">
        <v>34</v>
      </c>
      <c r="O337" s="1" t="s">
        <v>4674</v>
      </c>
    </row>
    <row r="338" spans="1:16" ht="15.75" customHeight="1">
      <c r="A338" s="1" t="s">
        <v>0</v>
      </c>
      <c r="B338" s="1" t="s">
        <v>6306</v>
      </c>
      <c r="C338" s="1" t="s">
        <v>6307</v>
      </c>
      <c r="D338" s="1" t="s">
        <v>4613</v>
      </c>
      <c r="E338" s="1" t="s">
        <v>6308</v>
      </c>
      <c r="F338" s="1" t="s">
        <v>6309</v>
      </c>
      <c r="G338" s="1">
        <v>40</v>
      </c>
      <c r="H338" s="1">
        <v>6</v>
      </c>
      <c r="I338" s="1">
        <v>2018</v>
      </c>
      <c r="K338" s="1" t="s">
        <v>55</v>
      </c>
    </row>
    <row r="339" spans="1:16" ht="15.75" customHeight="1">
      <c r="A339" s="1" t="s">
        <v>10</v>
      </c>
      <c r="B339" s="1" t="s">
        <v>2263</v>
      </c>
      <c r="C339" s="1" t="s">
        <v>2264</v>
      </c>
      <c r="D339" s="1" t="s">
        <v>2265</v>
      </c>
      <c r="E339" s="1" t="s">
        <v>2266</v>
      </c>
      <c r="F339" s="1" t="s">
        <v>2267</v>
      </c>
      <c r="H339" s="1">
        <v>6</v>
      </c>
      <c r="I339" s="1">
        <v>2018</v>
      </c>
      <c r="J339" s="1">
        <v>148</v>
      </c>
      <c r="K339" s="1">
        <v>6</v>
      </c>
      <c r="O339" s="1" t="s">
        <v>2268</v>
      </c>
    </row>
    <row r="340" spans="1:16" ht="15.75" customHeight="1">
      <c r="A340" s="1" t="s">
        <v>0</v>
      </c>
      <c r="B340" s="1" t="s">
        <v>4995</v>
      </c>
      <c r="C340" s="1" t="s">
        <v>4996</v>
      </c>
      <c r="D340" s="1" t="s">
        <v>52</v>
      </c>
      <c r="E340" s="1" t="s">
        <v>4997</v>
      </c>
      <c r="F340" s="1" t="s">
        <v>4998</v>
      </c>
      <c r="G340" s="1">
        <v>48</v>
      </c>
      <c r="H340" s="1">
        <v>5</v>
      </c>
      <c r="I340" s="1">
        <v>2018</v>
      </c>
      <c r="J340" s="1">
        <v>17</v>
      </c>
      <c r="K340" s="1" t="s">
        <v>3045</v>
      </c>
      <c r="O340" s="1" t="s">
        <v>4999</v>
      </c>
    </row>
    <row r="341" spans="1:16" ht="15.75" customHeight="1">
      <c r="A341" s="1" t="s">
        <v>10</v>
      </c>
      <c r="B341" s="1" t="s">
        <v>6010</v>
      </c>
      <c r="C341" s="1" t="s">
        <v>6011</v>
      </c>
      <c r="D341" s="1" t="s">
        <v>6012</v>
      </c>
      <c r="E341" s="1" t="s">
        <v>6013</v>
      </c>
      <c r="F341" s="1" t="s">
        <v>6014</v>
      </c>
      <c r="H341" s="1">
        <v>5</v>
      </c>
      <c r="I341" s="1">
        <v>2018</v>
      </c>
      <c r="J341" s="1">
        <v>4</v>
      </c>
      <c r="K341" s="1">
        <v>1</v>
      </c>
      <c r="O341" s="1" t="s">
        <v>6015</v>
      </c>
    </row>
    <row r="342" spans="1:16" ht="15.75" customHeight="1">
      <c r="A342" s="1" t="s">
        <v>10</v>
      </c>
      <c r="B342" s="1" t="s">
        <v>2275</v>
      </c>
      <c r="C342" s="1" t="s">
        <v>2276</v>
      </c>
      <c r="D342" s="2" t="s">
        <v>2277</v>
      </c>
      <c r="E342" s="1" t="s">
        <v>2278</v>
      </c>
      <c r="F342" s="1" t="s">
        <v>2279</v>
      </c>
      <c r="H342" s="1">
        <v>5</v>
      </c>
      <c r="I342" s="1">
        <v>2018</v>
      </c>
      <c r="J342" s="1">
        <v>50</v>
      </c>
      <c r="K342" s="1">
        <v>2</v>
      </c>
      <c r="O342" s="1" t="s">
        <v>2280</v>
      </c>
    </row>
    <row r="343" spans="1:16" ht="15.75" customHeight="1">
      <c r="A343" s="1" t="s">
        <v>0</v>
      </c>
      <c r="B343" s="1" t="s">
        <v>3041</v>
      </c>
      <c r="C343" s="1" t="s">
        <v>3042</v>
      </c>
      <c r="D343" s="1" t="s">
        <v>52</v>
      </c>
      <c r="E343" s="1" t="s">
        <v>3043</v>
      </c>
      <c r="F343" s="1" t="s">
        <v>3044</v>
      </c>
      <c r="G343" s="1">
        <v>68</v>
      </c>
      <c r="H343" s="1">
        <v>5</v>
      </c>
      <c r="I343" s="1">
        <v>2018</v>
      </c>
      <c r="J343" s="1">
        <v>17</v>
      </c>
      <c r="K343" s="1" t="s">
        <v>3045</v>
      </c>
      <c r="O343" s="1" t="s">
        <v>3046</v>
      </c>
    </row>
    <row r="344" spans="1:16" ht="15.75" customHeight="1">
      <c r="A344" s="1" t="s">
        <v>0</v>
      </c>
      <c r="B344" s="1" t="s">
        <v>3295</v>
      </c>
      <c r="C344" s="1" t="s">
        <v>3296</v>
      </c>
      <c r="D344" s="1" t="s">
        <v>3297</v>
      </c>
      <c r="E344" s="1" t="s">
        <v>3298</v>
      </c>
      <c r="F344" s="1" t="s">
        <v>3299</v>
      </c>
      <c r="G344" s="1">
        <v>79</v>
      </c>
      <c r="H344" s="1">
        <v>5</v>
      </c>
      <c r="I344" s="1">
        <v>2018</v>
      </c>
      <c r="J344" s="1">
        <v>139</v>
      </c>
      <c r="K344" s="1" t="s">
        <v>6</v>
      </c>
      <c r="L344" s="1">
        <v>81</v>
      </c>
      <c r="M344" s="1">
        <v>89</v>
      </c>
      <c r="N344" s="1" t="s">
        <v>6</v>
      </c>
      <c r="O344" s="1" t="s">
        <v>3300</v>
      </c>
      <c r="P344" s="3" t="str">
        <f>HYPERLINK("http://dx.doi.org/10.1016/j.anbehav.2018.03.009","http://dx.doi.org/10.1016/j.anbehav.2018.03.009")</f>
        <v>http://dx.doi.org/10.1016/j.anbehav.2018.03.009</v>
      </c>
    </row>
    <row r="345" spans="1:16" ht="15.75" customHeight="1">
      <c r="A345" s="1" t="s">
        <v>0</v>
      </c>
      <c r="B345" s="1" t="s">
        <v>4329</v>
      </c>
      <c r="C345" s="1" t="s">
        <v>4330</v>
      </c>
      <c r="D345" s="1" t="s">
        <v>4331</v>
      </c>
      <c r="E345" s="1" t="s">
        <v>4332</v>
      </c>
      <c r="F345" s="1" t="s">
        <v>4333</v>
      </c>
      <c r="G345" s="1">
        <v>57</v>
      </c>
      <c r="H345" s="1">
        <v>5</v>
      </c>
      <c r="I345" s="1">
        <v>2018</v>
      </c>
      <c r="J345" s="1">
        <v>31</v>
      </c>
      <c r="K345" s="1">
        <v>3</v>
      </c>
      <c r="L345" s="1">
        <v>450</v>
      </c>
      <c r="M345" s="1">
        <v>470</v>
      </c>
      <c r="N345" s="1" t="s">
        <v>6</v>
      </c>
      <c r="O345" s="1" t="s">
        <v>4334</v>
      </c>
      <c r="P345" s="3" t="str">
        <f>HYPERLINK("http://dx.doi.org/10.1108/ARLA-11-2016-0301","http://dx.doi.org/10.1108/ARLA-11-2016-0301")</f>
        <v>http://dx.doi.org/10.1108/ARLA-11-2016-0301</v>
      </c>
    </row>
    <row r="346" spans="1:16" ht="15.75" customHeight="1">
      <c r="A346" s="1" t="s">
        <v>0</v>
      </c>
      <c r="B346" s="1" t="s">
        <v>5818</v>
      </c>
      <c r="C346" s="1" t="s">
        <v>5819</v>
      </c>
      <c r="D346" s="1" t="s">
        <v>195</v>
      </c>
      <c r="E346" s="1" t="s">
        <v>5820</v>
      </c>
      <c r="F346" s="1" t="s">
        <v>5821</v>
      </c>
      <c r="G346" s="1">
        <v>60</v>
      </c>
      <c r="H346" s="1">
        <v>5</v>
      </c>
      <c r="I346" s="1">
        <v>2018</v>
      </c>
      <c r="J346" s="1">
        <v>50</v>
      </c>
      <c r="K346" s="1">
        <v>3</v>
      </c>
      <c r="L346" s="1">
        <v>501</v>
      </c>
      <c r="M346" s="1">
        <v>512</v>
      </c>
      <c r="N346" s="1" t="s">
        <v>6</v>
      </c>
      <c r="O346" s="1" t="s">
        <v>5822</v>
      </c>
      <c r="P346" s="3" t="str">
        <f>HYPERLINK("http://dx.doi.org/10.4067/S0717-73562018005001201","http://dx.doi.org/10.4067/S0717-73562018005001201")</f>
        <v>http://dx.doi.org/10.4067/S0717-73562018005001201</v>
      </c>
    </row>
    <row r="347" spans="1:16" ht="15.75" customHeight="1">
      <c r="A347" s="1" t="s">
        <v>0</v>
      </c>
      <c r="B347" s="1" t="s">
        <v>4825</v>
      </c>
      <c r="C347" s="1" t="s">
        <v>4826</v>
      </c>
      <c r="D347" s="1" t="s">
        <v>4827</v>
      </c>
      <c r="E347" s="1" t="s">
        <v>4828</v>
      </c>
      <c r="F347" s="1" t="s">
        <v>4829</v>
      </c>
      <c r="G347" s="1">
        <v>62</v>
      </c>
      <c r="H347" s="1">
        <v>5</v>
      </c>
      <c r="I347" s="1">
        <v>2018</v>
      </c>
      <c r="J347" s="1">
        <v>6</v>
      </c>
      <c r="K347" s="1">
        <v>1</v>
      </c>
      <c r="L347" s="1">
        <v>79</v>
      </c>
      <c r="M347" s="1">
        <v>98</v>
      </c>
      <c r="N347" s="1" t="s">
        <v>6</v>
      </c>
      <c r="O347" s="1" t="s">
        <v>4830</v>
      </c>
      <c r="P347" s="3" t="str">
        <f>HYPERLINK("http://dx.doi.org/10.1093/migration/mnx032","http://dx.doi.org/10.1093/migration/mnx032")</f>
        <v>http://dx.doi.org/10.1093/migration/mnx032</v>
      </c>
    </row>
    <row r="348" spans="1:16" ht="15.75" customHeight="1">
      <c r="A348" s="1" t="s">
        <v>10</v>
      </c>
      <c r="B348" s="1" t="s">
        <v>4733</v>
      </c>
      <c r="C348" s="1" t="s">
        <v>4734</v>
      </c>
      <c r="D348" s="1" t="s">
        <v>4735</v>
      </c>
      <c r="E348" s="1" t="s">
        <v>4736</v>
      </c>
      <c r="F348" s="1" t="s">
        <v>4737</v>
      </c>
      <c r="H348" s="1">
        <v>4</v>
      </c>
      <c r="I348" s="1">
        <v>2018</v>
      </c>
      <c r="J348" s="1">
        <v>2018</v>
      </c>
      <c r="K348" s="1">
        <v>720</v>
      </c>
      <c r="O348" s="1" t="s">
        <v>4738</v>
      </c>
    </row>
    <row r="349" spans="1:16" ht="15.75" customHeight="1">
      <c r="A349" s="1" t="s">
        <v>10</v>
      </c>
      <c r="B349" s="1" t="s">
        <v>5696</v>
      </c>
      <c r="C349" s="1" t="s">
        <v>5697</v>
      </c>
      <c r="D349" s="1" t="s">
        <v>1500</v>
      </c>
      <c r="E349" s="1" t="s">
        <v>5698</v>
      </c>
      <c r="F349" s="1" t="s">
        <v>5699</v>
      </c>
      <c r="H349" s="1">
        <v>4</v>
      </c>
      <c r="I349" s="1">
        <v>2018</v>
      </c>
      <c r="J349" s="1">
        <v>2018</v>
      </c>
      <c r="K349" s="1">
        <v>71</v>
      </c>
    </row>
    <row r="350" spans="1:16" ht="15.75" customHeight="1">
      <c r="A350" s="1" t="s">
        <v>10</v>
      </c>
      <c r="B350" s="1" t="s">
        <v>2152</v>
      </c>
      <c r="C350" s="1" t="s">
        <v>2153</v>
      </c>
      <c r="D350" s="1" t="s">
        <v>2154</v>
      </c>
      <c r="E350" s="1" t="s">
        <v>2155</v>
      </c>
      <c r="F350" s="1" t="s">
        <v>2156</v>
      </c>
      <c r="H350" s="1">
        <v>4</v>
      </c>
      <c r="I350" s="1">
        <v>2018</v>
      </c>
      <c r="J350" s="1">
        <v>43</v>
      </c>
      <c r="K350" s="1">
        <v>1</v>
      </c>
      <c r="O350" s="1" t="s">
        <v>2157</v>
      </c>
    </row>
    <row r="351" spans="1:16" ht="15.75" customHeight="1">
      <c r="A351" s="1" t="s">
        <v>0</v>
      </c>
      <c r="B351" s="1" t="s">
        <v>2784</v>
      </c>
      <c r="C351" s="1" t="s">
        <v>2785</v>
      </c>
      <c r="D351" s="1" t="s">
        <v>1679</v>
      </c>
      <c r="E351" s="1" t="s">
        <v>2786</v>
      </c>
      <c r="F351" s="1" t="s">
        <v>2787</v>
      </c>
      <c r="G351" s="1">
        <v>21</v>
      </c>
      <c r="H351" s="1">
        <v>4</v>
      </c>
      <c r="I351" s="1">
        <v>2018</v>
      </c>
      <c r="J351" s="1">
        <v>6</v>
      </c>
      <c r="K351" s="1">
        <v>1</v>
      </c>
      <c r="L351" s="1">
        <v>110</v>
      </c>
      <c r="M351" s="1">
        <v>114</v>
      </c>
      <c r="N351" s="1" t="s">
        <v>6</v>
      </c>
      <c r="O351" s="1" t="s">
        <v>2788</v>
      </c>
      <c r="P351" s="3" t="str">
        <f>HYPERLINK("http://dx.doi.org/10.17645/si.v6i1.1482","http://dx.doi.org/10.17645/si.v6i1.1482")</f>
        <v>http://dx.doi.org/10.17645/si.v6i1.1482</v>
      </c>
    </row>
    <row r="352" spans="1:16" ht="15.75" customHeight="1">
      <c r="A352" s="1" t="s">
        <v>10</v>
      </c>
      <c r="B352" s="1" t="s">
        <v>4954</v>
      </c>
      <c r="C352" s="1" t="s">
        <v>4955</v>
      </c>
      <c r="D352" s="1" t="s">
        <v>2017</v>
      </c>
      <c r="E352" s="1" t="s">
        <v>4956</v>
      </c>
      <c r="F352" s="1" t="s">
        <v>4957</v>
      </c>
      <c r="H352" s="1">
        <v>4</v>
      </c>
      <c r="I352" s="1">
        <v>2018</v>
      </c>
      <c r="J352" s="1">
        <v>34</v>
      </c>
      <c r="K352" s="1">
        <v>87</v>
      </c>
    </row>
    <row r="353" spans="1:16" ht="15.75" customHeight="1">
      <c r="A353" s="1" t="s">
        <v>0</v>
      </c>
      <c r="B353" s="1" t="s">
        <v>6130</v>
      </c>
      <c r="C353" s="1" t="s">
        <v>6131</v>
      </c>
      <c r="D353" s="1" t="s">
        <v>1009</v>
      </c>
      <c r="E353" s="1" t="s">
        <v>6132</v>
      </c>
      <c r="F353" s="1" t="s">
        <v>6133</v>
      </c>
      <c r="G353" s="1">
        <v>19</v>
      </c>
      <c r="H353" s="1">
        <v>4</v>
      </c>
      <c r="I353" s="1">
        <v>2018</v>
      </c>
      <c r="J353" s="1">
        <v>24</v>
      </c>
      <c r="K353" s="1">
        <v>97</v>
      </c>
      <c r="L353" s="1">
        <v>85</v>
      </c>
      <c r="M353" s="1">
        <v>112</v>
      </c>
      <c r="N353" s="1" t="s">
        <v>6</v>
      </c>
      <c r="O353" s="1" t="s">
        <v>6134</v>
      </c>
      <c r="P353" s="3" t="str">
        <f>HYPERLINK("http://dx.doi.org/10.22185/24487147.2018.97.26","http://dx.doi.org/10.22185/24487147.2018.97.26")</f>
        <v>http://dx.doi.org/10.22185/24487147.2018.97.26</v>
      </c>
    </row>
    <row r="354" spans="1:16" ht="15.75" customHeight="1">
      <c r="A354" s="1" t="s">
        <v>10</v>
      </c>
      <c r="B354" s="1" t="s">
        <v>6004</v>
      </c>
      <c r="C354" s="1" t="s">
        <v>6005</v>
      </c>
      <c r="D354" s="1" t="s">
        <v>6006</v>
      </c>
      <c r="E354" s="1" t="s">
        <v>6007</v>
      </c>
      <c r="F354" s="1" t="s">
        <v>6008</v>
      </c>
      <c r="H354" s="1">
        <v>3</v>
      </c>
      <c r="I354" s="1">
        <v>2018</v>
      </c>
      <c r="J354" s="1">
        <v>69</v>
      </c>
      <c r="O354" s="1" t="s">
        <v>6009</v>
      </c>
    </row>
    <row r="355" spans="1:16" ht="15.75" customHeight="1">
      <c r="A355" s="1" t="s">
        <v>10</v>
      </c>
      <c r="B355" s="1" t="s">
        <v>2641</v>
      </c>
      <c r="C355" s="1" t="s">
        <v>2642</v>
      </c>
      <c r="D355" s="1" t="s">
        <v>2643</v>
      </c>
      <c r="E355" s="1" t="s">
        <v>2644</v>
      </c>
      <c r="F355" s="1" t="s">
        <v>2645</v>
      </c>
      <c r="H355" s="1">
        <v>3</v>
      </c>
      <c r="I355" s="1">
        <v>2018</v>
      </c>
      <c r="J355" s="1">
        <v>22</v>
      </c>
      <c r="K355" s="1">
        <v>1</v>
      </c>
    </row>
    <row r="356" spans="1:16" ht="15.75" customHeight="1">
      <c r="A356" s="1" t="s">
        <v>10</v>
      </c>
      <c r="B356" s="1" t="s">
        <v>1654</v>
      </c>
      <c r="C356" s="1" t="s">
        <v>1655</v>
      </c>
      <c r="D356" s="1" t="s">
        <v>1656</v>
      </c>
      <c r="E356" s="1" t="s">
        <v>1657</v>
      </c>
      <c r="F356" s="1" t="s">
        <v>1658</v>
      </c>
      <c r="H356" s="1">
        <v>3</v>
      </c>
      <c r="I356" s="1">
        <v>2018</v>
      </c>
      <c r="J356" s="1">
        <v>18</v>
      </c>
      <c r="K356" s="1">
        <v>3</v>
      </c>
      <c r="O356" s="1" t="s">
        <v>1659</v>
      </c>
    </row>
    <row r="357" spans="1:16" ht="15.75" customHeight="1">
      <c r="A357" s="1" t="s">
        <v>0</v>
      </c>
      <c r="B357" s="1" t="s">
        <v>1566</v>
      </c>
      <c r="C357" s="1" t="s">
        <v>1567</v>
      </c>
      <c r="D357" s="1" t="s">
        <v>264</v>
      </c>
      <c r="E357" s="1" t="s">
        <v>1568</v>
      </c>
      <c r="F357" s="1" t="s">
        <v>1569</v>
      </c>
      <c r="G357" s="1">
        <v>67</v>
      </c>
      <c r="H357" s="1">
        <v>3</v>
      </c>
      <c r="I357" s="1">
        <v>2018</v>
      </c>
      <c r="J357" s="1">
        <v>44</v>
      </c>
      <c r="K357" s="1">
        <v>11</v>
      </c>
      <c r="L357" s="1">
        <v>1954</v>
      </c>
      <c r="M357" s="1">
        <v>1975</v>
      </c>
      <c r="N357" s="1" t="s">
        <v>6</v>
      </c>
      <c r="O357" s="1" t="s">
        <v>1570</v>
      </c>
      <c r="P357" s="3" t="str">
        <f>HYPERLINK("http://dx.doi.org/10.1080/1369183X.2017.1371582","http://dx.doi.org/10.1080/1369183X.2017.1371582")</f>
        <v>http://dx.doi.org/10.1080/1369183X.2017.1371582</v>
      </c>
    </row>
    <row r="358" spans="1:16" ht="15.75" customHeight="1">
      <c r="A358" s="1" t="s">
        <v>10</v>
      </c>
      <c r="B358" s="1" t="s">
        <v>5796</v>
      </c>
      <c r="C358" s="1" t="s">
        <v>5797</v>
      </c>
      <c r="D358" s="1" t="s">
        <v>1500</v>
      </c>
      <c r="E358" s="1" t="s">
        <v>5798</v>
      </c>
      <c r="F358" s="1" t="s">
        <v>5799</v>
      </c>
      <c r="H358" s="1">
        <v>3</v>
      </c>
      <c r="I358" s="1">
        <v>2018</v>
      </c>
      <c r="J358" s="1">
        <v>2018</v>
      </c>
      <c r="K358" s="1">
        <v>70</v>
      </c>
      <c r="O358" s="1" t="s">
        <v>5800</v>
      </c>
    </row>
    <row r="359" spans="1:16" ht="15.75" customHeight="1">
      <c r="A359" s="1" t="s">
        <v>0</v>
      </c>
      <c r="B359" s="1" t="s">
        <v>3976</v>
      </c>
      <c r="C359" s="1" t="s">
        <v>3977</v>
      </c>
      <c r="D359" s="1" t="s">
        <v>3597</v>
      </c>
      <c r="E359" s="1" t="s">
        <v>3978</v>
      </c>
      <c r="F359" s="1" t="s">
        <v>3979</v>
      </c>
      <c r="G359" s="1">
        <v>30</v>
      </c>
      <c r="H359" s="1">
        <v>3</v>
      </c>
      <c r="I359" s="1">
        <v>2018</v>
      </c>
      <c r="J359" s="1">
        <v>19</v>
      </c>
      <c r="O359" s="1" t="s">
        <v>3980</v>
      </c>
    </row>
    <row r="360" spans="1:16" ht="15.75" customHeight="1">
      <c r="A360" s="1" t="s">
        <v>10</v>
      </c>
      <c r="B360" s="1" t="s">
        <v>2015</v>
      </c>
      <c r="C360" s="1" t="s">
        <v>2016</v>
      </c>
      <c r="D360" s="1" t="s">
        <v>2017</v>
      </c>
      <c r="E360" s="1" t="s">
        <v>2018</v>
      </c>
      <c r="F360" s="1" t="s">
        <v>2019</v>
      </c>
      <c r="H360" s="1">
        <v>2</v>
      </c>
      <c r="I360" s="1">
        <v>2018</v>
      </c>
      <c r="J360" s="1">
        <v>34</v>
      </c>
      <c r="K360" s="1">
        <v>86</v>
      </c>
    </row>
    <row r="361" spans="1:16" ht="15.75" customHeight="1">
      <c r="A361" s="1" t="s">
        <v>0</v>
      </c>
      <c r="B361" s="1" t="s">
        <v>3346</v>
      </c>
      <c r="C361" s="1" t="s">
        <v>3347</v>
      </c>
      <c r="D361" s="1" t="s">
        <v>3348</v>
      </c>
      <c r="E361" s="1" t="s">
        <v>3349</v>
      </c>
      <c r="F361" s="1" t="s">
        <v>3350</v>
      </c>
      <c r="G361" s="1">
        <v>53</v>
      </c>
      <c r="H361" s="1">
        <v>2</v>
      </c>
      <c r="I361" s="1">
        <v>2018</v>
      </c>
      <c r="J361" s="1">
        <v>109</v>
      </c>
      <c r="K361" s="1">
        <v>3</v>
      </c>
      <c r="L361" s="1">
        <v>350</v>
      </c>
      <c r="M361" s="1">
        <v>370</v>
      </c>
      <c r="N361" s="1" t="s">
        <v>6</v>
      </c>
      <c r="O361" s="1" t="s">
        <v>3351</v>
      </c>
      <c r="P361" s="3" t="str">
        <f>HYPERLINK("http://dx.doi.org/10.1111/tesg.12295","http://dx.doi.org/10.1111/tesg.12295")</f>
        <v>http://dx.doi.org/10.1111/tesg.12295</v>
      </c>
    </row>
    <row r="362" spans="1:16" ht="15.75" customHeight="1">
      <c r="A362" s="1" t="s">
        <v>10</v>
      </c>
      <c r="B362" s="1" t="s">
        <v>2696</v>
      </c>
      <c r="C362" s="1" t="s">
        <v>2697</v>
      </c>
      <c r="D362" s="1" t="s">
        <v>2643</v>
      </c>
      <c r="E362" s="1" t="s">
        <v>2698</v>
      </c>
      <c r="F362" s="1" t="s">
        <v>2699</v>
      </c>
      <c r="H362" s="1">
        <v>2</v>
      </c>
      <c r="I362" s="1">
        <v>2018</v>
      </c>
      <c r="J362" s="1">
        <v>22</v>
      </c>
      <c r="K362" s="1">
        <v>1</v>
      </c>
      <c r="O362" s="1" t="s">
        <v>2700</v>
      </c>
    </row>
    <row r="363" spans="1:16" ht="15.75" customHeight="1">
      <c r="A363" s="1" t="s">
        <v>10</v>
      </c>
      <c r="B363" s="1" t="s">
        <v>4874</v>
      </c>
      <c r="C363" s="1" t="s">
        <v>4875</v>
      </c>
      <c r="D363" s="2" t="s">
        <v>4369</v>
      </c>
      <c r="E363" s="1" t="s">
        <v>4876</v>
      </c>
      <c r="F363" s="1" t="s">
        <v>4877</v>
      </c>
      <c r="H363" s="1">
        <v>2</v>
      </c>
      <c r="I363" s="1">
        <v>2018</v>
      </c>
      <c r="K363" s="1">
        <v>57</v>
      </c>
      <c r="O363" s="1" t="s">
        <v>4878</v>
      </c>
    </row>
    <row r="364" spans="1:16" ht="15.75" customHeight="1">
      <c r="A364" s="1" t="s">
        <v>10</v>
      </c>
      <c r="B364" s="1" t="s">
        <v>2164</v>
      </c>
      <c r="C364" s="1" t="s">
        <v>2165</v>
      </c>
      <c r="D364" s="1" t="s">
        <v>2166</v>
      </c>
      <c r="E364" s="1" t="s">
        <v>2167</v>
      </c>
      <c r="F364" s="1" t="s">
        <v>2168</v>
      </c>
      <c r="H364" s="1">
        <v>2</v>
      </c>
      <c r="I364" s="1">
        <v>2018</v>
      </c>
      <c r="J364" s="1">
        <v>10</v>
      </c>
      <c r="K364" s="1">
        <v>1</v>
      </c>
    </row>
    <row r="365" spans="1:16" ht="15.75" customHeight="1">
      <c r="A365" s="1" t="s">
        <v>10</v>
      </c>
      <c r="B365" s="1" t="s">
        <v>2734</v>
      </c>
      <c r="C365" s="1" t="s">
        <v>2735</v>
      </c>
      <c r="D365" s="1" t="s">
        <v>1820</v>
      </c>
      <c r="E365" s="1" t="s">
        <v>2736</v>
      </c>
      <c r="F365" s="1" t="s">
        <v>2737</v>
      </c>
      <c r="H365" s="1">
        <v>2</v>
      </c>
      <c r="I365" s="1">
        <v>2018</v>
      </c>
      <c r="J365" s="1">
        <v>21</v>
      </c>
      <c r="K365" s="1">
        <v>2</v>
      </c>
      <c r="O365" s="1" t="s">
        <v>2738</v>
      </c>
    </row>
    <row r="366" spans="1:16" ht="15.75" customHeight="1">
      <c r="A366" s="1" t="s">
        <v>0</v>
      </c>
      <c r="B366" s="1" t="s">
        <v>2174</v>
      </c>
      <c r="C366" s="1" t="s">
        <v>2175</v>
      </c>
      <c r="D366" s="1" t="s">
        <v>2176</v>
      </c>
      <c r="E366" s="1" t="s">
        <v>2177</v>
      </c>
      <c r="F366" s="1" t="s">
        <v>2178</v>
      </c>
      <c r="G366" s="1">
        <v>36</v>
      </c>
      <c r="H366" s="1">
        <v>2</v>
      </c>
      <c r="I366" s="1">
        <v>2018</v>
      </c>
      <c r="J366" s="1">
        <v>47</v>
      </c>
      <c r="K366" s="1">
        <v>6</v>
      </c>
      <c r="L366" s="1">
        <v>865</v>
      </c>
      <c r="M366" s="1">
        <v>887</v>
      </c>
      <c r="N366" s="1" t="s">
        <v>6</v>
      </c>
      <c r="O366" s="1" t="s">
        <v>2179</v>
      </c>
      <c r="P366" s="3" t="str">
        <f>HYPERLINK("http://dx.doi.org/10.1177/0891241617716743","http://dx.doi.org/10.1177/0891241617716743")</f>
        <v>http://dx.doi.org/10.1177/0891241617716743</v>
      </c>
    </row>
    <row r="367" spans="1:16" ht="15.75" customHeight="1">
      <c r="A367" s="1" t="s">
        <v>0</v>
      </c>
      <c r="B367" s="1" t="s">
        <v>6600</v>
      </c>
      <c r="C367" s="1" t="s">
        <v>6601</v>
      </c>
      <c r="D367" s="1" t="s">
        <v>715</v>
      </c>
      <c r="E367" s="1" t="s">
        <v>6602</v>
      </c>
      <c r="F367" s="1" t="s">
        <v>6603</v>
      </c>
      <c r="G367" s="1">
        <v>23</v>
      </c>
      <c r="H367" s="1">
        <v>2</v>
      </c>
      <c r="I367" s="1">
        <v>2018</v>
      </c>
      <c r="J367" s="1">
        <v>35</v>
      </c>
      <c r="K367" s="1" t="s">
        <v>61</v>
      </c>
      <c r="O367" s="1" t="s">
        <v>6604</v>
      </c>
    </row>
    <row r="368" spans="1:16" ht="15.75" customHeight="1">
      <c r="A368" s="1" t="s">
        <v>0</v>
      </c>
      <c r="B368" s="1" t="s">
        <v>6966</v>
      </c>
      <c r="C368" s="1" t="s">
        <v>6967</v>
      </c>
      <c r="D368" s="1" t="s">
        <v>6968</v>
      </c>
      <c r="E368" s="1" t="s">
        <v>6969</v>
      </c>
      <c r="F368" s="1" t="s">
        <v>6970</v>
      </c>
      <c r="G368" s="1">
        <v>44</v>
      </c>
      <c r="H368" s="1">
        <v>2</v>
      </c>
      <c r="I368" s="1">
        <v>2018</v>
      </c>
      <c r="J368" s="1">
        <v>16</v>
      </c>
      <c r="K368" s="1" t="s">
        <v>6971</v>
      </c>
    </row>
    <row r="369" spans="1:16" ht="15.75" customHeight="1">
      <c r="A369" s="1" t="s">
        <v>0</v>
      </c>
      <c r="B369" s="1" t="s">
        <v>4315</v>
      </c>
      <c r="C369" s="1" t="s">
        <v>4316</v>
      </c>
      <c r="D369" s="1" t="s">
        <v>58</v>
      </c>
      <c r="E369" s="1" t="s">
        <v>4317</v>
      </c>
      <c r="F369" s="1" t="s">
        <v>4318</v>
      </c>
      <c r="G369" s="1">
        <v>53</v>
      </c>
      <c r="H369" s="1">
        <v>2</v>
      </c>
      <c r="I369" s="1">
        <v>2018</v>
      </c>
      <c r="J369" s="1">
        <v>18</v>
      </c>
      <c r="K369" s="1" t="s">
        <v>61</v>
      </c>
    </row>
    <row r="370" spans="1:16" ht="15.75" customHeight="1">
      <c r="A370" s="1" t="s">
        <v>0</v>
      </c>
      <c r="B370" s="1" t="s">
        <v>3509</v>
      </c>
      <c r="C370" s="1" t="s">
        <v>3510</v>
      </c>
      <c r="D370" s="1" t="s">
        <v>3511</v>
      </c>
      <c r="E370" s="1" t="s">
        <v>3512</v>
      </c>
      <c r="F370" s="1" t="s">
        <v>3513</v>
      </c>
      <c r="G370" s="1">
        <v>67</v>
      </c>
      <c r="H370" s="1">
        <v>2</v>
      </c>
      <c r="I370" s="1">
        <v>2018</v>
      </c>
      <c r="K370" s="1" t="s">
        <v>3514</v>
      </c>
      <c r="O370" s="1" t="s">
        <v>3515</v>
      </c>
    </row>
    <row r="371" spans="1:16" ht="15.75" customHeight="1">
      <c r="A371" s="1" t="s">
        <v>0</v>
      </c>
      <c r="B371" s="1" t="s">
        <v>1305</v>
      </c>
      <c r="C371" s="1" t="s">
        <v>1329</v>
      </c>
      <c r="D371" s="1" t="s">
        <v>1330</v>
      </c>
      <c r="E371" s="1" t="s">
        <v>1331</v>
      </c>
      <c r="F371" s="1" t="s">
        <v>1332</v>
      </c>
      <c r="G371" s="1">
        <v>40</v>
      </c>
      <c r="H371" s="1">
        <v>2</v>
      </c>
      <c r="I371" s="1">
        <v>2018</v>
      </c>
      <c r="J371" s="1">
        <v>13</v>
      </c>
      <c r="K371" s="1">
        <v>3</v>
      </c>
      <c r="L371" s="1">
        <v>325</v>
      </c>
      <c r="M371" s="1">
        <v>336</v>
      </c>
      <c r="N371" s="1" t="s">
        <v>6</v>
      </c>
      <c r="O371" s="1" t="s">
        <v>1333</v>
      </c>
      <c r="P371" s="3" t="str">
        <f>HYPERLINK("http://dx.doi.org/10.1080/17450101.2017.1356436","http://dx.doi.org/10.1080/17450101.2017.1356436")</f>
        <v>http://dx.doi.org/10.1080/17450101.2017.1356436</v>
      </c>
    </row>
    <row r="372" spans="1:16" ht="15.75" customHeight="1">
      <c r="A372" s="1" t="s">
        <v>10</v>
      </c>
      <c r="B372" s="1" t="s">
        <v>6642</v>
      </c>
      <c r="C372" s="2" t="s">
        <v>6643</v>
      </c>
      <c r="D372" s="1" t="s">
        <v>2987</v>
      </c>
      <c r="E372" s="1" t="s">
        <v>6644</v>
      </c>
      <c r="F372" s="1" t="s">
        <v>6645</v>
      </c>
      <c r="H372" s="1">
        <v>1</v>
      </c>
      <c r="I372" s="1">
        <v>2018</v>
      </c>
      <c r="J372" s="1">
        <v>33</v>
      </c>
      <c r="K372" s="1">
        <v>94</v>
      </c>
      <c r="O372" s="1" t="s">
        <v>6646</v>
      </c>
    </row>
    <row r="373" spans="1:16" ht="15.75" customHeight="1">
      <c r="A373" s="1" t="s">
        <v>463</v>
      </c>
      <c r="B373" s="1" t="s">
        <v>4638</v>
      </c>
      <c r="C373" s="1" t="s">
        <v>4639</v>
      </c>
      <c r="D373" s="1" t="s">
        <v>4640</v>
      </c>
      <c r="E373" s="1" t="s">
        <v>4641</v>
      </c>
      <c r="F373" s="1" t="s">
        <v>4642</v>
      </c>
      <c r="H373" s="1">
        <v>1</v>
      </c>
      <c r="I373" s="1">
        <v>2018</v>
      </c>
      <c r="O373" s="1" t="s">
        <v>4643</v>
      </c>
    </row>
    <row r="374" spans="1:16" ht="15.75" customHeight="1">
      <c r="A374" s="1" t="s">
        <v>10</v>
      </c>
      <c r="B374" s="1" t="s">
        <v>4484</v>
      </c>
      <c r="C374" s="1" t="s">
        <v>4485</v>
      </c>
      <c r="D374" s="1" t="s">
        <v>4486</v>
      </c>
      <c r="E374" s="1" t="s">
        <v>4487</v>
      </c>
      <c r="F374" s="1" t="s">
        <v>4488</v>
      </c>
      <c r="H374" s="1">
        <v>1</v>
      </c>
      <c r="I374" s="1">
        <v>2018</v>
      </c>
      <c r="J374" s="1">
        <v>35</v>
      </c>
      <c r="K374" s="1">
        <v>3</v>
      </c>
      <c r="O374" s="1" t="s">
        <v>4489</v>
      </c>
    </row>
    <row r="375" spans="1:16" ht="15.75" customHeight="1">
      <c r="A375" s="1" t="s">
        <v>0</v>
      </c>
      <c r="B375" s="1" t="s">
        <v>1465</v>
      </c>
      <c r="C375" s="1" t="s">
        <v>1466</v>
      </c>
      <c r="D375" s="1" t="s">
        <v>1467</v>
      </c>
      <c r="E375" s="1" t="s">
        <v>1468</v>
      </c>
      <c r="F375" s="1" t="s">
        <v>1469</v>
      </c>
      <c r="G375" s="1">
        <v>28</v>
      </c>
      <c r="H375" s="1">
        <v>1</v>
      </c>
      <c r="I375" s="1">
        <v>2018</v>
      </c>
      <c r="J375" s="1">
        <v>22</v>
      </c>
      <c r="K375" s="1">
        <v>2</v>
      </c>
      <c r="L375" s="1">
        <v>290</v>
      </c>
      <c r="M375" s="1">
        <v>302</v>
      </c>
      <c r="N375" s="1" t="s">
        <v>6</v>
      </c>
      <c r="O375" s="1" t="s">
        <v>1470</v>
      </c>
      <c r="P375" s="3" t="str">
        <f>HYPERLINK("http://dx.doi.org/10.4013/htu.2018.222.12","http://dx.doi.org/10.4013/htu.2018.222.12")</f>
        <v>http://dx.doi.org/10.4013/htu.2018.222.12</v>
      </c>
    </row>
    <row r="376" spans="1:16" ht="15.75" customHeight="1">
      <c r="A376" s="1" t="s">
        <v>10</v>
      </c>
      <c r="B376" s="1" t="s">
        <v>1588</v>
      </c>
      <c r="C376" s="1" t="s">
        <v>1589</v>
      </c>
      <c r="D376" s="1" t="s">
        <v>1590</v>
      </c>
      <c r="E376" s="1" t="s">
        <v>1591</v>
      </c>
      <c r="F376" s="1" t="s">
        <v>1592</v>
      </c>
      <c r="H376" s="1">
        <v>0</v>
      </c>
      <c r="I376" s="1">
        <v>2018</v>
      </c>
      <c r="J376" s="1">
        <v>109</v>
      </c>
      <c r="K376" s="1">
        <v>3</v>
      </c>
      <c r="O376" s="1" t="s">
        <v>1593</v>
      </c>
    </row>
    <row r="377" spans="1:16" ht="15.75" customHeight="1">
      <c r="A377" s="1" t="s">
        <v>463</v>
      </c>
      <c r="B377" s="1" t="s">
        <v>6115</v>
      </c>
      <c r="C377" s="1" t="s">
        <v>6116</v>
      </c>
      <c r="D377" s="1" t="s">
        <v>6117</v>
      </c>
      <c r="E377" s="1" t="s">
        <v>6118</v>
      </c>
      <c r="F377" s="1" t="s">
        <v>6119</v>
      </c>
      <c r="H377" s="1">
        <v>0</v>
      </c>
      <c r="I377" s="1">
        <v>2018</v>
      </c>
      <c r="O377" s="1" t="s">
        <v>6120</v>
      </c>
    </row>
    <row r="378" spans="1:16" ht="15.75" customHeight="1">
      <c r="A378" s="1" t="s">
        <v>0</v>
      </c>
      <c r="B378" s="1" t="s">
        <v>1947</v>
      </c>
      <c r="C378" s="1" t="s">
        <v>1948</v>
      </c>
      <c r="D378" s="1" t="s">
        <v>1949</v>
      </c>
      <c r="E378" s="1" t="s">
        <v>1950</v>
      </c>
      <c r="F378" s="1" t="s">
        <v>1951</v>
      </c>
      <c r="G378" s="1">
        <v>50</v>
      </c>
      <c r="H378" s="1">
        <v>0</v>
      </c>
      <c r="I378" s="1">
        <v>2018</v>
      </c>
      <c r="J378" s="1">
        <v>31</v>
      </c>
      <c r="K378" s="1" t="s">
        <v>1952</v>
      </c>
    </row>
    <row r="379" spans="1:16" ht="15.75" customHeight="1">
      <c r="A379" s="1" t="s">
        <v>0</v>
      </c>
      <c r="B379" s="1" t="s">
        <v>6692</v>
      </c>
      <c r="C379" s="1" t="s">
        <v>6693</v>
      </c>
      <c r="D379" s="1" t="s">
        <v>201</v>
      </c>
      <c r="E379" s="1" t="s">
        <v>6694</v>
      </c>
      <c r="F379" s="1" t="s">
        <v>6695</v>
      </c>
      <c r="G379" s="1">
        <v>85</v>
      </c>
      <c r="H379" s="1">
        <v>0</v>
      </c>
      <c r="I379" s="1">
        <v>2018</v>
      </c>
      <c r="J379" s="1" t="s">
        <v>6</v>
      </c>
      <c r="K379" s="1">
        <v>58</v>
      </c>
      <c r="L379" s="1">
        <v>7</v>
      </c>
      <c r="M379" s="1">
        <v>28</v>
      </c>
      <c r="N379" s="1" t="s">
        <v>6</v>
      </c>
      <c r="O379" s="1" t="s">
        <v>6696</v>
      </c>
      <c r="P379" s="3" t="str">
        <f>HYPERLINK("http://dx.doi.org/10.4067/S0718-10432018005000801","http://dx.doi.org/10.4067/S0718-10432018005000801")</f>
        <v>http://dx.doi.org/10.4067/S0718-10432018005000801</v>
      </c>
    </row>
    <row r="380" spans="1:16" ht="15.75" customHeight="1">
      <c r="A380" s="1" t="s">
        <v>0</v>
      </c>
      <c r="B380" s="1" t="s">
        <v>5934</v>
      </c>
      <c r="C380" s="1" t="s">
        <v>5935</v>
      </c>
      <c r="D380" s="1" t="s">
        <v>1467</v>
      </c>
      <c r="E380" s="1" t="s">
        <v>5936</v>
      </c>
      <c r="F380" s="1" t="s">
        <v>5937</v>
      </c>
      <c r="G380" s="1">
        <v>42</v>
      </c>
      <c r="H380" s="1">
        <v>0</v>
      </c>
      <c r="I380" s="1">
        <v>2018</v>
      </c>
      <c r="J380" s="1">
        <v>22</v>
      </c>
      <c r="K380" s="1">
        <v>2</v>
      </c>
      <c r="L380" s="1">
        <v>195</v>
      </c>
      <c r="M380" s="1">
        <v>208</v>
      </c>
      <c r="N380" s="1" t="s">
        <v>6</v>
      </c>
      <c r="O380" s="1" t="s">
        <v>5938</v>
      </c>
      <c r="P380" s="3" t="str">
        <f>HYPERLINK("http://dx.doi.org/10.4013/htu.2018.222.04","http://dx.doi.org/10.4013/htu.2018.222.04")</f>
        <v>http://dx.doi.org/10.4013/htu.2018.222.04</v>
      </c>
    </row>
    <row r="381" spans="1:16" ht="15.75" customHeight="1">
      <c r="A381" s="1" t="s">
        <v>0</v>
      </c>
      <c r="B381" s="1" t="s">
        <v>3921</v>
      </c>
      <c r="C381" s="1" t="s">
        <v>3922</v>
      </c>
      <c r="D381" s="1" t="s">
        <v>201</v>
      </c>
      <c r="E381" s="1" t="s">
        <v>3923</v>
      </c>
      <c r="F381" s="1" t="s">
        <v>3924</v>
      </c>
      <c r="G381" s="1">
        <v>53</v>
      </c>
      <c r="H381" s="1">
        <v>0</v>
      </c>
      <c r="I381" s="1">
        <v>2018</v>
      </c>
      <c r="J381" s="1" t="s">
        <v>6</v>
      </c>
      <c r="K381" s="1">
        <v>60</v>
      </c>
      <c r="L381" s="1">
        <v>241</v>
      </c>
      <c r="M381" s="1">
        <v>256</v>
      </c>
      <c r="N381" s="1" t="s">
        <v>6</v>
      </c>
      <c r="O381" s="1" t="s">
        <v>3925</v>
      </c>
      <c r="P381" s="3" t="str">
        <f>HYPERLINK("http://dx.doi.org/10.4067/S0718-10432018005001503","http://dx.doi.org/10.4067/S0718-10432018005001503")</f>
        <v>http://dx.doi.org/10.4067/S0718-10432018005001503</v>
      </c>
    </row>
    <row r="382" spans="1:16" ht="15.75" customHeight="1">
      <c r="A382" s="1" t="s">
        <v>0</v>
      </c>
      <c r="B382" s="1" t="s">
        <v>626</v>
      </c>
      <c r="C382" s="1" t="s">
        <v>627</v>
      </c>
      <c r="D382" s="1" t="s">
        <v>206</v>
      </c>
      <c r="E382" s="1" t="s">
        <v>628</v>
      </c>
      <c r="F382" s="1" t="s">
        <v>629</v>
      </c>
      <c r="G382" s="1">
        <v>40</v>
      </c>
      <c r="H382" s="1">
        <v>0</v>
      </c>
      <c r="I382" s="1">
        <v>2018</v>
      </c>
      <c r="J382" s="1" t="s">
        <v>6</v>
      </c>
      <c r="K382" s="1">
        <v>66</v>
      </c>
      <c r="L382" s="1">
        <v>93</v>
      </c>
      <c r="M382" s="1">
        <v>105</v>
      </c>
      <c r="N382" s="1" t="s">
        <v>6</v>
      </c>
      <c r="O382" s="1" t="s">
        <v>630</v>
      </c>
      <c r="P382" s="3" t="str">
        <f>HYPERLINK("http://dx.doi.org/10.7440/res66.2018.09","http://dx.doi.org/10.7440/res66.2018.09")</f>
        <v>http://dx.doi.org/10.7440/res66.2018.09</v>
      </c>
    </row>
    <row r="383" spans="1:16" ht="15.75" customHeight="1">
      <c r="A383" s="1" t="s">
        <v>0</v>
      </c>
      <c r="B383" s="1" t="s">
        <v>4024</v>
      </c>
      <c r="C383" s="1" t="s">
        <v>4025</v>
      </c>
      <c r="D383" s="1" t="s">
        <v>4026</v>
      </c>
      <c r="E383" s="1" t="s">
        <v>4027</v>
      </c>
      <c r="F383" s="1" t="s">
        <v>4028</v>
      </c>
      <c r="G383" s="1">
        <v>12</v>
      </c>
      <c r="H383" s="1">
        <v>0</v>
      </c>
      <c r="I383" s="1">
        <v>2018</v>
      </c>
      <c r="K383" s="1" t="s">
        <v>4029</v>
      </c>
    </row>
    <row r="384" spans="1:16" ht="15.75" customHeight="1">
      <c r="A384" s="1" t="s">
        <v>10</v>
      </c>
      <c r="B384" s="1" t="s">
        <v>796</v>
      </c>
      <c r="C384" s="1" t="s">
        <v>797</v>
      </c>
      <c r="D384" s="1" t="s">
        <v>706</v>
      </c>
      <c r="E384" s="1" t="s">
        <v>798</v>
      </c>
      <c r="F384" s="1" t="s">
        <v>799</v>
      </c>
      <c r="H384" s="1">
        <v>40</v>
      </c>
      <c r="I384" s="1">
        <v>2019</v>
      </c>
      <c r="J384" s="1">
        <v>56</v>
      </c>
      <c r="K384" s="1">
        <v>15</v>
      </c>
      <c r="O384" s="1" t="s">
        <v>800</v>
      </c>
    </row>
    <row r="385" spans="1:16" ht="15.75" customHeight="1">
      <c r="A385" s="1" t="s">
        <v>10</v>
      </c>
      <c r="B385" s="1" t="s">
        <v>5210</v>
      </c>
      <c r="C385" s="1" t="s">
        <v>5211</v>
      </c>
      <c r="D385" s="2" t="s">
        <v>5212</v>
      </c>
      <c r="E385" s="1" t="s">
        <v>5213</v>
      </c>
      <c r="F385" s="1" t="s">
        <v>5214</v>
      </c>
      <c r="H385" s="1">
        <v>35</v>
      </c>
      <c r="I385" s="1">
        <v>2019</v>
      </c>
      <c r="J385" s="1">
        <v>56</v>
      </c>
      <c r="K385" s="1">
        <v>14</v>
      </c>
      <c r="O385" s="1" t="s">
        <v>5215</v>
      </c>
    </row>
    <row r="386" spans="1:16" ht="15.75" customHeight="1">
      <c r="A386" s="1" t="s">
        <v>0</v>
      </c>
      <c r="B386" s="1" t="s">
        <v>1735</v>
      </c>
      <c r="C386" s="1" t="s">
        <v>1736</v>
      </c>
      <c r="D386" s="1" t="s">
        <v>1737</v>
      </c>
      <c r="E386" s="1" t="s">
        <v>1738</v>
      </c>
      <c r="F386" s="1" t="s">
        <v>1739</v>
      </c>
      <c r="G386" s="1">
        <v>57</v>
      </c>
      <c r="H386" s="1">
        <v>28</v>
      </c>
      <c r="I386" s="1">
        <v>2019</v>
      </c>
      <c r="J386" s="1">
        <v>190</v>
      </c>
      <c r="K386" s="1" t="s">
        <v>6</v>
      </c>
      <c r="L386" s="1" t="s">
        <v>6</v>
      </c>
      <c r="M386" s="1" t="s">
        <v>6</v>
      </c>
      <c r="N386" s="1">
        <v>103592</v>
      </c>
      <c r="O386" s="1" t="s">
        <v>1740</v>
      </c>
      <c r="P386" s="3" t="str">
        <f>HYPERLINK("http://dx.doi.org/10.1016/j.landurbplan.2019.103592","http://dx.doi.org/10.1016/j.landurbplan.2019.103592")</f>
        <v>http://dx.doi.org/10.1016/j.landurbplan.2019.103592</v>
      </c>
    </row>
    <row r="387" spans="1:16" ht="15.75" customHeight="1">
      <c r="A387" s="1" t="s">
        <v>10</v>
      </c>
      <c r="B387" s="1" t="s">
        <v>6194</v>
      </c>
      <c r="C387" s="1" t="s">
        <v>6195</v>
      </c>
      <c r="D387" s="2" t="s">
        <v>6196</v>
      </c>
      <c r="E387" s="1" t="s">
        <v>6197</v>
      </c>
      <c r="F387" s="1" t="s">
        <v>6198</v>
      </c>
      <c r="H387" s="1">
        <v>26</v>
      </c>
      <c r="I387" s="1">
        <v>2019</v>
      </c>
      <c r="J387" s="1">
        <v>45</v>
      </c>
      <c r="K387" s="1">
        <v>3</v>
      </c>
      <c r="O387" s="1" t="s">
        <v>6199</v>
      </c>
    </row>
    <row r="388" spans="1:16" ht="15.75" customHeight="1">
      <c r="A388" s="1" t="s">
        <v>10</v>
      </c>
      <c r="B388" s="1" t="s">
        <v>6872</v>
      </c>
      <c r="C388" s="1" t="s">
        <v>6873</v>
      </c>
      <c r="D388" s="1" t="s">
        <v>6874</v>
      </c>
      <c r="E388" s="1" t="s">
        <v>6875</v>
      </c>
      <c r="F388" s="1" t="s">
        <v>6876</v>
      </c>
      <c r="H388" s="1">
        <v>26</v>
      </c>
      <c r="I388" s="1">
        <v>2019</v>
      </c>
      <c r="J388" s="1">
        <v>30</v>
      </c>
      <c r="K388" s="1">
        <v>10</v>
      </c>
      <c r="O388" s="1" t="s">
        <v>6877</v>
      </c>
    </row>
    <row r="389" spans="1:16" ht="15.75" customHeight="1">
      <c r="A389" s="1" t="s">
        <v>10</v>
      </c>
      <c r="B389" s="1" t="s">
        <v>1300</v>
      </c>
      <c r="C389" s="1" t="s">
        <v>1301</v>
      </c>
      <c r="D389" s="1" t="s">
        <v>596</v>
      </c>
      <c r="E389" s="1" t="s">
        <v>1302</v>
      </c>
      <c r="F389" s="1" t="s">
        <v>1303</v>
      </c>
      <c r="H389" s="1">
        <v>20</v>
      </c>
      <c r="I389" s="1">
        <v>2019</v>
      </c>
      <c r="J389" s="1">
        <v>42</v>
      </c>
      <c r="K389" s="1">
        <v>9</v>
      </c>
      <c r="O389" s="1" t="s">
        <v>1304</v>
      </c>
    </row>
    <row r="390" spans="1:16" ht="15.75" customHeight="1">
      <c r="A390" s="1" t="s">
        <v>10</v>
      </c>
      <c r="B390" s="1" t="s">
        <v>1724</v>
      </c>
      <c r="C390" s="1" t="s">
        <v>1725</v>
      </c>
      <c r="D390" s="1" t="s">
        <v>1726</v>
      </c>
      <c r="E390" s="1" t="s">
        <v>1727</v>
      </c>
      <c r="F390" s="1" t="s">
        <v>1728</v>
      </c>
      <c r="H390" s="1">
        <v>20</v>
      </c>
      <c r="I390" s="1">
        <v>2019</v>
      </c>
      <c r="J390" s="1">
        <v>98</v>
      </c>
      <c r="O390" s="1" t="s">
        <v>1729</v>
      </c>
    </row>
    <row r="391" spans="1:16" ht="15.75" customHeight="1">
      <c r="A391" s="1" t="s">
        <v>0</v>
      </c>
      <c r="B391" s="1" t="s">
        <v>3268</v>
      </c>
      <c r="C391" s="1" t="s">
        <v>3269</v>
      </c>
      <c r="D391" s="1" t="s">
        <v>3270</v>
      </c>
      <c r="E391" s="8" t="s">
        <v>7110</v>
      </c>
      <c r="F391" s="1" t="s">
        <v>3271</v>
      </c>
      <c r="G391" s="1">
        <v>119</v>
      </c>
      <c r="H391" s="1">
        <v>19</v>
      </c>
      <c r="I391" s="1">
        <v>2019</v>
      </c>
      <c r="J391" s="1">
        <v>13</v>
      </c>
      <c r="K391" s="1">
        <v>8</v>
      </c>
      <c r="L391" s="1" t="s">
        <v>6</v>
      </c>
      <c r="M391" s="1" t="s">
        <v>6</v>
      </c>
      <c r="N391" s="1" t="s">
        <v>3272</v>
      </c>
      <c r="O391" s="1" t="s">
        <v>3273</v>
      </c>
      <c r="P391" s="3" t="str">
        <f>HYPERLINK("http://dx.doi.org/10.1111/gec3.12460","http://dx.doi.org/10.1111/gec3.12460")</f>
        <v>http://dx.doi.org/10.1111/gec3.12460</v>
      </c>
    </row>
    <row r="392" spans="1:16" ht="15.75" customHeight="1">
      <c r="A392" s="1" t="s">
        <v>0</v>
      </c>
      <c r="B392" s="1" t="s">
        <v>1007</v>
      </c>
      <c r="C392" s="1" t="s">
        <v>1008</v>
      </c>
      <c r="D392" s="1" t="s">
        <v>1009</v>
      </c>
      <c r="E392" s="1" t="s">
        <v>1010</v>
      </c>
      <c r="F392" s="1" t="s">
        <v>1011</v>
      </c>
      <c r="G392" s="1">
        <v>23</v>
      </c>
      <c r="H392" s="1">
        <v>19</v>
      </c>
      <c r="I392" s="1">
        <v>2019</v>
      </c>
      <c r="J392" s="1">
        <v>25</v>
      </c>
      <c r="K392" s="1">
        <v>100</v>
      </c>
      <c r="L392" s="1">
        <v>53</v>
      </c>
      <c r="M392" s="1">
        <v>85</v>
      </c>
      <c r="N392" s="1" t="s">
        <v>6</v>
      </c>
      <c r="O392" s="1" t="s">
        <v>1012</v>
      </c>
      <c r="P392" s="3" t="str">
        <f>HYPERLINK("http://dx.doi.org/10.22185/24487147.2019.100.13","http://dx.doi.org/10.22185/24487147.2019.100.13")</f>
        <v>http://dx.doi.org/10.22185/24487147.2019.100.13</v>
      </c>
    </row>
    <row r="393" spans="1:16" ht="15.75" customHeight="1">
      <c r="A393" s="1" t="s">
        <v>0</v>
      </c>
      <c r="B393" s="1" t="s">
        <v>2532</v>
      </c>
      <c r="C393" s="2" t="s">
        <v>2533</v>
      </c>
      <c r="D393" s="1" t="s">
        <v>201</v>
      </c>
      <c r="E393" s="1" t="s">
        <v>2534</v>
      </c>
      <c r="F393" s="1" t="s">
        <v>2535</v>
      </c>
      <c r="G393" s="1">
        <v>49</v>
      </c>
      <c r="H393" s="1">
        <v>18</v>
      </c>
      <c r="I393" s="1">
        <v>2019</v>
      </c>
      <c r="J393" s="1" t="s">
        <v>6</v>
      </c>
      <c r="K393" s="1">
        <v>62</v>
      </c>
      <c r="L393" s="1">
        <v>127</v>
      </c>
      <c r="M393" s="1">
        <v>141</v>
      </c>
      <c r="N393" s="1" t="s">
        <v>6</v>
      </c>
      <c r="O393" s="1" t="s">
        <v>2536</v>
      </c>
      <c r="P393" s="3" t="str">
        <f>HYPERLINK("http://dx.doi.org/10.22199/issn.0718-1043-2019-0011","http://dx.doi.org/10.22199/issn.0718-1043-2019-0011")</f>
        <v>http://dx.doi.org/10.22199/issn.0718-1043-2019-0011</v>
      </c>
    </row>
    <row r="394" spans="1:16" ht="15.75" customHeight="1">
      <c r="A394" s="1" t="s">
        <v>10</v>
      </c>
      <c r="B394" s="1" t="s">
        <v>4976</v>
      </c>
      <c r="C394" s="1" t="s">
        <v>4977</v>
      </c>
      <c r="D394" s="1" t="s">
        <v>2857</v>
      </c>
      <c r="E394" s="1" t="s">
        <v>4978</v>
      </c>
      <c r="F394" s="1" t="s">
        <v>4979</v>
      </c>
      <c r="H394" s="1">
        <v>17</v>
      </c>
      <c r="I394" s="1">
        <v>2019</v>
      </c>
      <c r="J394" s="1">
        <v>45</v>
      </c>
      <c r="K394" s="1">
        <v>3</v>
      </c>
      <c r="O394" s="1" t="s">
        <v>4980</v>
      </c>
    </row>
    <row r="395" spans="1:16" ht="15.75" customHeight="1">
      <c r="A395" s="1" t="s">
        <v>0</v>
      </c>
      <c r="B395" s="1" t="s">
        <v>1577</v>
      </c>
      <c r="C395" s="1" t="s">
        <v>1578</v>
      </c>
      <c r="D395" s="1" t="s">
        <v>1579</v>
      </c>
      <c r="E395" s="1" t="s">
        <v>1580</v>
      </c>
      <c r="F395" s="1" t="s">
        <v>1581</v>
      </c>
      <c r="G395" s="1">
        <v>59</v>
      </c>
      <c r="H395" s="1">
        <v>17</v>
      </c>
      <c r="I395" s="1">
        <v>2019</v>
      </c>
      <c r="J395" s="1">
        <v>19</v>
      </c>
      <c r="K395" s="1">
        <v>3</v>
      </c>
      <c r="L395" s="1">
        <v>411</v>
      </c>
      <c r="M395" s="1">
        <v>435</v>
      </c>
      <c r="N395" s="1" t="s">
        <v>6</v>
      </c>
      <c r="O395" s="1" t="s">
        <v>1582</v>
      </c>
      <c r="P395" s="3" t="str">
        <f>HYPERLINK("http://dx.doi.org/10.1080/19491247.2019.1627841","http://dx.doi.org/10.1080/19491247.2019.1627841")</f>
        <v>http://dx.doi.org/10.1080/19491247.2019.1627841</v>
      </c>
    </row>
    <row r="396" spans="1:16" ht="15.75" customHeight="1">
      <c r="A396" s="1" t="s">
        <v>10</v>
      </c>
      <c r="B396" s="1" t="s">
        <v>4949</v>
      </c>
      <c r="C396" s="1" t="s">
        <v>4950</v>
      </c>
      <c r="D396" s="1" t="s">
        <v>4951</v>
      </c>
      <c r="F396" s="1" t="s">
        <v>4952</v>
      </c>
      <c r="H396" s="1">
        <v>16</v>
      </c>
      <c r="I396" s="1">
        <v>2019</v>
      </c>
      <c r="J396" s="1">
        <v>75</v>
      </c>
      <c r="O396" s="1" t="s">
        <v>4953</v>
      </c>
    </row>
    <row r="397" spans="1:16" ht="15.75" customHeight="1">
      <c r="A397" s="1" t="s">
        <v>10</v>
      </c>
      <c r="B397" s="1" t="s">
        <v>6799</v>
      </c>
      <c r="C397" s="1" t="s">
        <v>6800</v>
      </c>
      <c r="D397" s="1" t="s">
        <v>556</v>
      </c>
      <c r="E397" s="1" t="s">
        <v>6801</v>
      </c>
      <c r="F397" s="1" t="s">
        <v>6802</v>
      </c>
      <c r="H397" s="1">
        <v>15</v>
      </c>
      <c r="I397" s="1">
        <v>2019</v>
      </c>
      <c r="J397" s="1">
        <v>14</v>
      </c>
      <c r="K397" s="1">
        <v>5</v>
      </c>
      <c r="O397" s="1" t="s">
        <v>6803</v>
      </c>
    </row>
    <row r="398" spans="1:16" ht="15.75" customHeight="1">
      <c r="A398" s="1" t="s">
        <v>0</v>
      </c>
      <c r="B398" s="1" t="s">
        <v>4967</v>
      </c>
      <c r="C398" s="1" t="s">
        <v>4968</v>
      </c>
      <c r="D398" s="1" t="s">
        <v>1371</v>
      </c>
      <c r="E398" s="1" t="s">
        <v>4969</v>
      </c>
      <c r="F398" s="1" t="s">
        <v>4970</v>
      </c>
      <c r="G398" s="1">
        <v>62</v>
      </c>
      <c r="H398" s="1">
        <v>15</v>
      </c>
      <c r="I398" s="1">
        <v>2019</v>
      </c>
      <c r="J398" s="1">
        <v>45</v>
      </c>
      <c r="K398" s="1" t="s">
        <v>605</v>
      </c>
    </row>
    <row r="399" spans="1:16" ht="15.75" customHeight="1">
      <c r="A399" s="1" t="s">
        <v>10</v>
      </c>
      <c r="B399" s="1" t="s">
        <v>6701</v>
      </c>
      <c r="C399" s="1" t="s">
        <v>6702</v>
      </c>
      <c r="D399" s="1" t="s">
        <v>6703</v>
      </c>
      <c r="E399" s="1" t="s">
        <v>6704</v>
      </c>
      <c r="F399" s="1" t="s">
        <v>6705</v>
      </c>
      <c r="H399" s="1">
        <v>14</v>
      </c>
      <c r="I399" s="1">
        <v>2019</v>
      </c>
      <c r="J399" s="1">
        <v>43</v>
      </c>
      <c r="K399" s="1">
        <v>2</v>
      </c>
      <c r="O399" s="1" t="s">
        <v>6706</v>
      </c>
    </row>
    <row r="400" spans="1:16" ht="15.75" customHeight="1">
      <c r="A400" s="1" t="s">
        <v>0</v>
      </c>
      <c r="B400" s="1" t="s">
        <v>1132</v>
      </c>
      <c r="C400" s="1" t="s">
        <v>1133</v>
      </c>
      <c r="D400" s="1" t="s">
        <v>1134</v>
      </c>
      <c r="E400" s="1" t="s">
        <v>1135</v>
      </c>
      <c r="F400" s="1" t="s">
        <v>1136</v>
      </c>
      <c r="G400" s="1">
        <v>61</v>
      </c>
      <c r="H400" s="1">
        <v>14</v>
      </c>
      <c r="I400" s="1">
        <v>2019</v>
      </c>
      <c r="J400" s="1">
        <v>185</v>
      </c>
      <c r="K400" s="1">
        <v>2</v>
      </c>
      <c r="L400" s="1">
        <v>180</v>
      </c>
      <c r="M400" s="1">
        <v>193</v>
      </c>
      <c r="N400" s="1" t="s">
        <v>6</v>
      </c>
      <c r="O400" s="1" t="s">
        <v>1137</v>
      </c>
      <c r="P400" s="3" t="str">
        <f>HYPERLINK("http://dx.doi.org/10.1111/geoj.12287","http://dx.doi.org/10.1111/geoj.12287")</f>
        <v>http://dx.doi.org/10.1111/geoj.12287</v>
      </c>
    </row>
    <row r="401" spans="1:16" ht="15.75" customHeight="1">
      <c r="A401" s="1" t="s">
        <v>10</v>
      </c>
      <c r="B401" s="1" t="s">
        <v>3493</v>
      </c>
      <c r="C401" s="1" t="s">
        <v>3494</v>
      </c>
      <c r="D401" s="1" t="s">
        <v>3495</v>
      </c>
      <c r="E401" s="1" t="s">
        <v>3496</v>
      </c>
      <c r="F401" s="1" t="s">
        <v>3497</v>
      </c>
      <c r="H401" s="1">
        <v>13</v>
      </c>
      <c r="I401" s="1">
        <v>2019</v>
      </c>
      <c r="J401" s="1">
        <v>31</v>
      </c>
      <c r="K401" s="1">
        <v>1</v>
      </c>
      <c r="O401" s="1" t="s">
        <v>3498</v>
      </c>
    </row>
    <row r="402" spans="1:16" ht="15.75" customHeight="1">
      <c r="A402" s="1" t="s">
        <v>10</v>
      </c>
      <c r="B402" s="1" t="s">
        <v>4429</v>
      </c>
      <c r="C402" s="1" t="s">
        <v>4430</v>
      </c>
      <c r="D402" s="1" t="s">
        <v>2857</v>
      </c>
      <c r="E402" s="1" t="s">
        <v>4431</v>
      </c>
      <c r="F402" s="1" t="s">
        <v>4432</v>
      </c>
      <c r="H402" s="1">
        <v>13</v>
      </c>
      <c r="I402" s="1">
        <v>2019</v>
      </c>
      <c r="J402" s="1">
        <v>45</v>
      </c>
      <c r="K402" s="1">
        <v>3</v>
      </c>
      <c r="O402" s="1" t="s">
        <v>4433</v>
      </c>
    </row>
    <row r="403" spans="1:16" ht="15.75" customHeight="1">
      <c r="A403" s="1" t="s">
        <v>0</v>
      </c>
      <c r="B403" s="1" t="s">
        <v>6165</v>
      </c>
      <c r="C403" s="1" t="s">
        <v>6166</v>
      </c>
      <c r="D403" s="1" t="s">
        <v>1371</v>
      </c>
      <c r="E403" s="1" t="s">
        <v>6167</v>
      </c>
      <c r="F403" s="1" t="s">
        <v>6168</v>
      </c>
      <c r="G403" s="1">
        <v>51</v>
      </c>
      <c r="H403" s="1">
        <v>13</v>
      </c>
      <c r="I403" s="1">
        <v>2019</v>
      </c>
      <c r="J403" s="1">
        <v>45</v>
      </c>
      <c r="K403" s="1" t="s">
        <v>605</v>
      </c>
    </row>
    <row r="404" spans="1:16" ht="15.75" customHeight="1">
      <c r="A404" s="1" t="s">
        <v>0</v>
      </c>
      <c r="B404" s="1" t="s">
        <v>2376</v>
      </c>
      <c r="C404" s="1" t="s">
        <v>2377</v>
      </c>
      <c r="D404" s="1" t="s">
        <v>2378</v>
      </c>
      <c r="E404" s="1" t="s">
        <v>2379</v>
      </c>
      <c r="F404" s="1" t="s">
        <v>2380</v>
      </c>
      <c r="G404" s="1">
        <v>75</v>
      </c>
      <c r="H404" s="1">
        <v>12</v>
      </c>
      <c r="I404" s="1">
        <v>2019</v>
      </c>
      <c r="J404" s="1">
        <v>19</v>
      </c>
      <c r="K404" s="1">
        <v>2</v>
      </c>
      <c r="L404" s="1" t="s">
        <v>6</v>
      </c>
      <c r="M404" s="1" t="s">
        <v>6</v>
      </c>
      <c r="N404" s="1" t="s">
        <v>2381</v>
      </c>
      <c r="O404" s="1" t="s">
        <v>2382</v>
      </c>
      <c r="P404" s="3" t="str">
        <f>HYPERLINK("http://dx.doi.org/10.5565/rev/athenea.2447","http://dx.doi.org/10.5565/rev/athenea.2447")</f>
        <v>http://dx.doi.org/10.5565/rev/athenea.2447</v>
      </c>
    </row>
    <row r="405" spans="1:16" ht="15.75" customHeight="1">
      <c r="A405" s="1" t="s">
        <v>10</v>
      </c>
      <c r="B405" s="1" t="s">
        <v>2757</v>
      </c>
      <c r="C405" s="1" t="s">
        <v>2758</v>
      </c>
      <c r="D405" s="1" t="s">
        <v>2759</v>
      </c>
      <c r="E405" s="1" t="s">
        <v>2760</v>
      </c>
      <c r="F405" s="1" t="s">
        <v>2761</v>
      </c>
      <c r="H405" s="1">
        <v>12</v>
      </c>
      <c r="I405" s="1">
        <v>2019</v>
      </c>
      <c r="J405" s="1">
        <v>54</v>
      </c>
      <c r="O405" s="1" t="s">
        <v>2762</v>
      </c>
    </row>
    <row r="406" spans="1:16" ht="15.75" customHeight="1">
      <c r="A406" s="1" t="s">
        <v>0</v>
      </c>
      <c r="B406" s="1" t="s">
        <v>5633</v>
      </c>
      <c r="C406" s="1" t="s">
        <v>5634</v>
      </c>
      <c r="D406" s="1" t="s">
        <v>5635</v>
      </c>
      <c r="E406" s="1" t="s">
        <v>5636</v>
      </c>
      <c r="F406" s="1" t="s">
        <v>5637</v>
      </c>
      <c r="G406" s="1">
        <v>90</v>
      </c>
      <c r="H406" s="1">
        <v>12</v>
      </c>
      <c r="I406" s="1">
        <v>2019</v>
      </c>
      <c r="J406" s="1">
        <v>22</v>
      </c>
      <c r="K406" s="1">
        <v>4</v>
      </c>
      <c r="L406" s="1">
        <v>383</v>
      </c>
      <c r="M406" s="1">
        <v>405</v>
      </c>
      <c r="N406" s="1" t="s">
        <v>6</v>
      </c>
      <c r="O406" s="1" t="s">
        <v>5638</v>
      </c>
      <c r="P406" s="3" t="str">
        <f>HYPERLINK("http://dx.doi.org/10.1080/10253866.2018.1512245","http://dx.doi.org/10.1080/10253866.2018.1512245")</f>
        <v>http://dx.doi.org/10.1080/10253866.2018.1512245</v>
      </c>
    </row>
    <row r="407" spans="1:16" ht="15.75" customHeight="1">
      <c r="A407" s="1" t="s">
        <v>10</v>
      </c>
      <c r="B407" s="1" t="s">
        <v>2970</v>
      </c>
      <c r="C407" s="1" t="s">
        <v>2975</v>
      </c>
      <c r="D407" s="1" t="s">
        <v>500</v>
      </c>
      <c r="E407" s="1" t="s">
        <v>2976</v>
      </c>
      <c r="F407" s="1" t="s">
        <v>2977</v>
      </c>
      <c r="H407" s="1">
        <v>11</v>
      </c>
      <c r="I407" s="1">
        <v>2019</v>
      </c>
      <c r="J407" s="1">
        <v>56</v>
      </c>
      <c r="K407" s="1">
        <v>5</v>
      </c>
      <c r="O407" s="1" t="s">
        <v>2978</v>
      </c>
    </row>
    <row r="408" spans="1:16" ht="15.75" customHeight="1">
      <c r="A408" s="1" t="s">
        <v>0</v>
      </c>
      <c r="B408" s="1" t="s">
        <v>5983</v>
      </c>
      <c r="C408" s="1" t="s">
        <v>5984</v>
      </c>
      <c r="D408" s="1" t="s">
        <v>715</v>
      </c>
      <c r="E408" s="1" t="s">
        <v>5985</v>
      </c>
      <c r="F408" s="1" t="s">
        <v>5986</v>
      </c>
      <c r="G408" s="1">
        <v>29</v>
      </c>
      <c r="H408" s="1">
        <v>11</v>
      </c>
      <c r="I408" s="1">
        <v>2019</v>
      </c>
      <c r="J408" s="1">
        <v>36</v>
      </c>
      <c r="K408" s="1" t="s">
        <v>1575</v>
      </c>
      <c r="O408" s="1" t="s">
        <v>5987</v>
      </c>
    </row>
    <row r="409" spans="1:16" ht="15.75" customHeight="1">
      <c r="A409" s="1" t="s">
        <v>10</v>
      </c>
      <c r="B409" s="1" t="s">
        <v>6025</v>
      </c>
      <c r="C409" s="1" t="s">
        <v>6026</v>
      </c>
      <c r="D409" s="1" t="s">
        <v>6027</v>
      </c>
      <c r="E409" s="1" t="s">
        <v>6028</v>
      </c>
      <c r="F409" s="1" t="s">
        <v>6029</v>
      </c>
      <c r="H409" s="1">
        <v>10</v>
      </c>
      <c r="I409" s="1">
        <v>2019</v>
      </c>
      <c r="J409" s="1">
        <v>235</v>
      </c>
      <c r="O409" s="1" t="s">
        <v>6030</v>
      </c>
    </row>
    <row r="410" spans="1:16" ht="15.75" customHeight="1">
      <c r="A410" s="1" t="s">
        <v>0</v>
      </c>
      <c r="B410" s="1" t="s">
        <v>6141</v>
      </c>
      <c r="C410" s="1" t="s">
        <v>6142</v>
      </c>
      <c r="D410" s="1" t="s">
        <v>1874</v>
      </c>
      <c r="E410" s="1" t="s">
        <v>6143</v>
      </c>
      <c r="F410" s="1" t="s">
        <v>6144</v>
      </c>
      <c r="G410" s="1">
        <v>34</v>
      </c>
      <c r="H410" s="1">
        <v>10</v>
      </c>
      <c r="I410" s="1">
        <v>2019</v>
      </c>
      <c r="J410" s="1">
        <v>46</v>
      </c>
      <c r="K410" s="1" t="s">
        <v>6</v>
      </c>
      <c r="L410" s="1">
        <v>91</v>
      </c>
      <c r="M410" s="1">
        <v>119</v>
      </c>
      <c r="N410" s="1" t="s">
        <v>6</v>
      </c>
      <c r="O410" s="1" t="s">
        <v>6145</v>
      </c>
      <c r="P410" s="3" t="str">
        <f>HYPERLINK("http://dx.doi.org/10.14422/mig.i46y2019.004","http://dx.doi.org/10.14422/mig.i46y2019.004")</f>
        <v>http://dx.doi.org/10.14422/mig.i46y2019.004</v>
      </c>
    </row>
    <row r="411" spans="1:16" ht="15.75" customHeight="1">
      <c r="A411" s="1" t="s">
        <v>10</v>
      </c>
      <c r="B411" s="1" t="s">
        <v>5205</v>
      </c>
      <c r="C411" s="1" t="s">
        <v>5206</v>
      </c>
      <c r="D411" s="1" t="s">
        <v>1726</v>
      </c>
      <c r="E411" s="1" t="s">
        <v>5207</v>
      </c>
      <c r="F411" s="1" t="s">
        <v>5208</v>
      </c>
      <c r="H411" s="1">
        <v>9</v>
      </c>
      <c r="I411" s="1">
        <v>2019</v>
      </c>
      <c r="J411" s="1">
        <v>106</v>
      </c>
      <c r="O411" s="1" t="s">
        <v>5209</v>
      </c>
    </row>
    <row r="412" spans="1:16" ht="15.75" customHeight="1">
      <c r="A412" s="1" t="s">
        <v>10</v>
      </c>
      <c r="B412" s="1" t="s">
        <v>2035</v>
      </c>
      <c r="C412" s="1" t="s">
        <v>2036</v>
      </c>
      <c r="D412" s="1" t="s">
        <v>1522</v>
      </c>
      <c r="E412" s="1" t="s">
        <v>2037</v>
      </c>
      <c r="F412" s="1" t="s">
        <v>2038</v>
      </c>
      <c r="H412" s="1">
        <v>8</v>
      </c>
      <c r="I412" s="1">
        <v>2019</v>
      </c>
      <c r="K412" s="1">
        <v>58</v>
      </c>
      <c r="O412" s="1" t="s">
        <v>2039</v>
      </c>
    </row>
    <row r="413" spans="1:16" ht="15.75" customHeight="1">
      <c r="A413" s="1" t="s">
        <v>0</v>
      </c>
      <c r="B413" s="2" t="s">
        <v>6206</v>
      </c>
      <c r="C413" s="1" t="s">
        <v>6211</v>
      </c>
      <c r="D413" s="1" t="s">
        <v>206</v>
      </c>
      <c r="E413" s="1" t="s">
        <v>6212</v>
      </c>
      <c r="F413" s="1" t="s">
        <v>6213</v>
      </c>
      <c r="G413" s="1">
        <v>133</v>
      </c>
      <c r="H413" s="1">
        <v>8</v>
      </c>
      <c r="I413" s="1">
        <v>2019</v>
      </c>
      <c r="J413" s="1" t="s">
        <v>6</v>
      </c>
      <c r="K413" s="1">
        <v>70</v>
      </c>
      <c r="L413" s="1">
        <v>100</v>
      </c>
      <c r="M413" s="1">
        <v>114</v>
      </c>
      <c r="N413" s="1" t="s">
        <v>6</v>
      </c>
      <c r="O413" s="1" t="s">
        <v>6214</v>
      </c>
      <c r="P413" s="3" t="str">
        <f>HYPERLINK("http://dx.doi.org/10.7440/res70.2019.09","http://dx.doi.org/10.7440/res70.2019.09")</f>
        <v>http://dx.doi.org/10.7440/res70.2019.09</v>
      </c>
    </row>
    <row r="414" spans="1:16" ht="15.75" customHeight="1">
      <c r="A414" s="1" t="s">
        <v>10</v>
      </c>
      <c r="B414" s="1" t="s">
        <v>4888</v>
      </c>
      <c r="C414" s="1" t="s">
        <v>4889</v>
      </c>
      <c r="D414" s="1" t="s">
        <v>4337</v>
      </c>
      <c r="E414" s="1" t="s">
        <v>4890</v>
      </c>
      <c r="F414" s="1" t="s">
        <v>4891</v>
      </c>
      <c r="H414" s="1">
        <v>8</v>
      </c>
      <c r="I414" s="1">
        <v>2019</v>
      </c>
      <c r="J414" s="1">
        <v>98</v>
      </c>
      <c r="K414" s="1">
        <v>3</v>
      </c>
      <c r="O414" s="1" t="s">
        <v>4892</v>
      </c>
    </row>
    <row r="415" spans="1:16" ht="15.75" customHeight="1">
      <c r="A415" s="1" t="s">
        <v>0</v>
      </c>
      <c r="B415" s="1" t="s">
        <v>4310</v>
      </c>
      <c r="C415" s="1" t="s">
        <v>4311</v>
      </c>
      <c r="D415" s="1" t="s">
        <v>996</v>
      </c>
      <c r="E415" s="1" t="s">
        <v>4312</v>
      </c>
      <c r="F415" s="1" t="s">
        <v>4313</v>
      </c>
      <c r="G415" s="1">
        <v>44</v>
      </c>
      <c r="H415" s="1">
        <v>8</v>
      </c>
      <c r="I415" s="1">
        <v>2019</v>
      </c>
      <c r="J415" s="1">
        <v>29</v>
      </c>
      <c r="K415" s="1">
        <v>1</v>
      </c>
      <c r="L415" s="1">
        <v>33</v>
      </c>
      <c r="M415" s="1">
        <v>58</v>
      </c>
      <c r="N415" s="1" t="s">
        <v>6</v>
      </c>
      <c r="O415" s="1" t="s">
        <v>4314</v>
      </c>
      <c r="P415" s="3" t="str">
        <f>HYPERLINK("http://dx.doi.org/10.7770/0719-2789.2019.CUHSO.02.A03","http://dx.doi.org/10.7770/0719-2789.2019.CUHSO.02.A03")</f>
        <v>http://dx.doi.org/10.7770/0719-2789.2019.CUHSO.02.A03</v>
      </c>
    </row>
    <row r="416" spans="1:16" ht="15.75" customHeight="1">
      <c r="A416" s="1" t="s">
        <v>0</v>
      </c>
      <c r="B416" s="1" t="s">
        <v>1247</v>
      </c>
      <c r="C416" s="1" t="s">
        <v>1248</v>
      </c>
      <c r="D416" s="1" t="s">
        <v>195</v>
      </c>
      <c r="E416" s="1" t="s">
        <v>1249</v>
      </c>
      <c r="F416" s="1" t="s">
        <v>1250</v>
      </c>
      <c r="G416" s="1">
        <v>38</v>
      </c>
      <c r="H416" s="1">
        <v>8</v>
      </c>
      <c r="I416" s="1">
        <v>2019</v>
      </c>
      <c r="J416" s="1">
        <v>51</v>
      </c>
      <c r="K416" s="1">
        <v>4</v>
      </c>
      <c r="L416" s="1">
        <v>661</v>
      </c>
      <c r="M416" s="1">
        <v>674</v>
      </c>
      <c r="N416" s="1" t="s">
        <v>6</v>
      </c>
      <c r="O416" s="1" t="s">
        <v>1251</v>
      </c>
      <c r="P416" s="3" t="str">
        <f>HYPERLINK("http://dx.doi.org/10.4067/S0717-73562019005001802","http://dx.doi.org/10.4067/S0717-73562019005001802")</f>
        <v>http://dx.doi.org/10.4067/S0717-73562019005001802</v>
      </c>
    </row>
    <row r="417" spans="1:16" ht="15.75" customHeight="1">
      <c r="A417" s="1" t="s">
        <v>10</v>
      </c>
      <c r="B417" s="1" t="s">
        <v>6883</v>
      </c>
      <c r="C417" s="1" t="s">
        <v>6884</v>
      </c>
      <c r="D417" s="1" t="s">
        <v>6885</v>
      </c>
      <c r="E417" s="1" t="s">
        <v>6886</v>
      </c>
      <c r="F417" s="1" t="s">
        <v>6887</v>
      </c>
      <c r="H417" s="1">
        <v>7</v>
      </c>
      <c r="I417" s="1">
        <v>2019</v>
      </c>
      <c r="J417" s="1">
        <v>32</v>
      </c>
      <c r="K417" s="1">
        <v>5</v>
      </c>
      <c r="O417" s="1" t="s">
        <v>6888</v>
      </c>
    </row>
    <row r="418" spans="1:16" ht="15.75" customHeight="1">
      <c r="A418" s="1" t="s">
        <v>10</v>
      </c>
      <c r="B418" s="1" t="s">
        <v>707</v>
      </c>
      <c r="C418" s="1" t="s">
        <v>708</v>
      </c>
      <c r="D418" s="1" t="s">
        <v>709</v>
      </c>
      <c r="E418" s="1" t="s">
        <v>710</v>
      </c>
      <c r="F418" s="1" t="s">
        <v>711</v>
      </c>
      <c r="H418" s="1">
        <v>7</v>
      </c>
      <c r="I418" s="1">
        <v>2019</v>
      </c>
      <c r="J418" s="1">
        <v>34</v>
      </c>
      <c r="O418" s="1" t="s">
        <v>712</v>
      </c>
    </row>
    <row r="419" spans="1:16" ht="15.75" customHeight="1">
      <c r="A419" s="1" t="s">
        <v>0</v>
      </c>
      <c r="B419" s="1" t="s">
        <v>5963</v>
      </c>
      <c r="C419" s="1" t="s">
        <v>5964</v>
      </c>
      <c r="D419" s="1" t="s">
        <v>5965</v>
      </c>
      <c r="E419" s="1" t="s">
        <v>5966</v>
      </c>
      <c r="F419" s="1" t="s">
        <v>5967</v>
      </c>
      <c r="G419" s="1">
        <v>98</v>
      </c>
      <c r="H419" s="1">
        <v>7</v>
      </c>
      <c r="I419" s="1">
        <v>2019</v>
      </c>
      <c r="J419" s="1">
        <v>37</v>
      </c>
      <c r="K419" s="1">
        <v>4</v>
      </c>
      <c r="L419" s="1">
        <v>288</v>
      </c>
      <c r="M419" s="1">
        <v>310</v>
      </c>
      <c r="N419" s="1" t="s">
        <v>6</v>
      </c>
      <c r="O419" s="1" t="s">
        <v>5968</v>
      </c>
      <c r="P419" s="3" t="str">
        <f>HYPERLINK("http://dx.doi.org/10.1177/0924051919884754","http://dx.doi.org/10.1177/0924051919884754")</f>
        <v>http://dx.doi.org/10.1177/0924051919884754</v>
      </c>
    </row>
    <row r="420" spans="1:16" ht="15.75" customHeight="1">
      <c r="A420" s="1" t="s">
        <v>0</v>
      </c>
      <c r="B420" s="1" t="s">
        <v>5192</v>
      </c>
      <c r="C420" s="1" t="s">
        <v>5193</v>
      </c>
      <c r="D420" s="1" t="s">
        <v>1371</v>
      </c>
      <c r="E420" s="1" t="s">
        <v>5194</v>
      </c>
      <c r="F420" s="1" t="s">
        <v>5195</v>
      </c>
      <c r="G420" s="1">
        <v>47</v>
      </c>
      <c r="H420" s="1">
        <v>7</v>
      </c>
      <c r="I420" s="1">
        <v>2019</v>
      </c>
      <c r="J420" s="1">
        <v>45</v>
      </c>
      <c r="K420" s="1" t="s">
        <v>605</v>
      </c>
    </row>
    <row r="421" spans="1:16" ht="15.75" customHeight="1">
      <c r="A421" s="1" t="s">
        <v>10</v>
      </c>
      <c r="B421" s="1" t="s">
        <v>554</v>
      </c>
      <c r="C421" s="1" t="s">
        <v>555</v>
      </c>
      <c r="D421" s="1" t="s">
        <v>556</v>
      </c>
      <c r="E421" s="1" t="s">
        <v>557</v>
      </c>
      <c r="F421" s="1" t="s">
        <v>558</v>
      </c>
      <c r="H421" s="1">
        <v>6</v>
      </c>
      <c r="I421" s="1">
        <v>2019</v>
      </c>
      <c r="J421" s="1">
        <v>14</v>
      </c>
      <c r="K421" s="1">
        <v>6</v>
      </c>
      <c r="O421" s="1" t="s">
        <v>559</v>
      </c>
    </row>
    <row r="422" spans="1:16" ht="15.75" customHeight="1">
      <c r="A422" s="1" t="s">
        <v>10</v>
      </c>
      <c r="B422" s="1" t="s">
        <v>5216</v>
      </c>
      <c r="C422" s="1" t="s">
        <v>5217</v>
      </c>
      <c r="D422" s="1" t="s">
        <v>5218</v>
      </c>
      <c r="E422" s="1" t="s">
        <v>5219</v>
      </c>
      <c r="F422" s="1" t="s">
        <v>5220</v>
      </c>
      <c r="H422" s="1">
        <v>6</v>
      </c>
      <c r="I422" s="1">
        <v>2019</v>
      </c>
      <c r="K422" s="1">
        <v>80</v>
      </c>
      <c r="O422" s="1" t="s">
        <v>5221</v>
      </c>
    </row>
    <row r="423" spans="1:16" ht="15.75" customHeight="1">
      <c r="A423" s="1" t="s">
        <v>10</v>
      </c>
      <c r="B423" s="1" t="s">
        <v>4140</v>
      </c>
      <c r="C423" s="1" t="s">
        <v>4141</v>
      </c>
      <c r="D423" s="1" t="s">
        <v>70</v>
      </c>
      <c r="E423" s="1" t="s">
        <v>4142</v>
      </c>
      <c r="F423" s="1" t="s">
        <v>4143</v>
      </c>
      <c r="H423" s="1">
        <v>6</v>
      </c>
      <c r="I423" s="1">
        <v>2019</v>
      </c>
      <c r="J423" s="1">
        <v>10</v>
      </c>
      <c r="K423" s="1">
        <v>36</v>
      </c>
      <c r="O423" s="1" t="s">
        <v>4144</v>
      </c>
    </row>
    <row r="424" spans="1:16" ht="15.75" customHeight="1">
      <c r="A424" s="1" t="s">
        <v>10</v>
      </c>
      <c r="B424" s="1" t="s">
        <v>1408</v>
      </c>
      <c r="C424" s="1" t="s">
        <v>1409</v>
      </c>
      <c r="D424" s="1" t="s">
        <v>1410</v>
      </c>
      <c r="E424" s="1" t="s">
        <v>1411</v>
      </c>
      <c r="F424" s="1" t="s">
        <v>1412</v>
      </c>
      <c r="H424" s="1">
        <v>6</v>
      </c>
      <c r="I424" s="1">
        <v>2019</v>
      </c>
      <c r="J424" s="1">
        <v>76</v>
      </c>
      <c r="K424" s="1">
        <v>2</v>
      </c>
      <c r="O424" s="1" t="s">
        <v>1413</v>
      </c>
    </row>
    <row r="425" spans="1:16" ht="15.75" customHeight="1">
      <c r="A425" s="1" t="s">
        <v>463</v>
      </c>
      <c r="B425" s="1" t="s">
        <v>4632</v>
      </c>
      <c r="C425" s="1" t="s">
        <v>4633</v>
      </c>
      <c r="D425" s="1" t="s">
        <v>4634</v>
      </c>
      <c r="E425" s="1" t="s">
        <v>4635</v>
      </c>
      <c r="F425" s="1" t="s">
        <v>4636</v>
      </c>
      <c r="H425" s="1">
        <v>6</v>
      </c>
      <c r="I425" s="1">
        <v>2019</v>
      </c>
      <c r="J425" s="1">
        <v>4</v>
      </c>
      <c r="O425" s="1" t="s">
        <v>4637</v>
      </c>
    </row>
    <row r="426" spans="1:16" ht="15.75" customHeight="1">
      <c r="A426" s="1" t="s">
        <v>0</v>
      </c>
      <c r="B426" s="1" t="s">
        <v>380</v>
      </c>
      <c r="C426" s="1" t="s">
        <v>381</v>
      </c>
      <c r="D426" s="1" t="s">
        <v>382</v>
      </c>
      <c r="E426" s="1" t="s">
        <v>383</v>
      </c>
      <c r="F426" s="1" t="s">
        <v>384</v>
      </c>
      <c r="G426" s="1">
        <v>66</v>
      </c>
      <c r="H426" s="1">
        <v>6</v>
      </c>
      <c r="I426" s="1">
        <v>2019</v>
      </c>
      <c r="J426" s="1">
        <v>13</v>
      </c>
      <c r="K426" s="1" t="s">
        <v>378</v>
      </c>
    </row>
    <row r="427" spans="1:16" ht="15.75" customHeight="1">
      <c r="A427" s="1" t="s">
        <v>0</v>
      </c>
      <c r="B427" s="1" t="s">
        <v>1543</v>
      </c>
      <c r="C427" s="1" t="s">
        <v>1544</v>
      </c>
      <c r="D427" s="1" t="s">
        <v>1545</v>
      </c>
      <c r="E427" s="1" t="s">
        <v>1546</v>
      </c>
      <c r="F427" s="1" t="s">
        <v>1547</v>
      </c>
      <c r="G427" s="1">
        <v>47</v>
      </c>
      <c r="H427" s="1">
        <v>6</v>
      </c>
      <c r="I427" s="1">
        <v>2019</v>
      </c>
      <c r="J427" s="1" t="s">
        <v>6</v>
      </c>
      <c r="K427" s="1">
        <v>79</v>
      </c>
      <c r="L427" s="1" t="s">
        <v>6</v>
      </c>
      <c r="M427" s="1" t="s">
        <v>6</v>
      </c>
      <c r="N427" s="1" t="s">
        <v>6</v>
      </c>
      <c r="O427" s="1" t="s">
        <v>1548</v>
      </c>
      <c r="P427" s="3" t="str">
        <f>HYPERLINK("http://dx.doi.org/10.29101/crcs.v0i79.9496","http://dx.doi.org/10.29101/crcs.v0i79.9496")</f>
        <v>http://dx.doi.org/10.29101/crcs.v0i79.9496</v>
      </c>
    </row>
    <row r="428" spans="1:16" ht="15.75" customHeight="1">
      <c r="A428" s="1" t="s">
        <v>0</v>
      </c>
      <c r="B428" s="1" t="s">
        <v>2875</v>
      </c>
      <c r="C428" s="1" t="s">
        <v>2876</v>
      </c>
      <c r="D428" s="1" t="s">
        <v>2877</v>
      </c>
      <c r="E428" s="1" t="s">
        <v>2878</v>
      </c>
      <c r="F428" s="1" t="s">
        <v>2879</v>
      </c>
      <c r="G428" s="1">
        <v>43</v>
      </c>
      <c r="H428" s="1">
        <v>5</v>
      </c>
      <c r="I428" s="1">
        <v>2019</v>
      </c>
      <c r="J428" s="1">
        <v>26</v>
      </c>
      <c r="K428" s="1" t="s">
        <v>61</v>
      </c>
      <c r="O428" s="1" t="s">
        <v>2880</v>
      </c>
    </row>
    <row r="429" spans="1:16" ht="15.75" customHeight="1">
      <c r="A429" s="1" t="s">
        <v>0</v>
      </c>
      <c r="B429" s="1" t="s">
        <v>1262</v>
      </c>
      <c r="C429" s="2" t="s">
        <v>1263</v>
      </c>
      <c r="D429" s="1" t="s">
        <v>1264</v>
      </c>
      <c r="E429" s="1" t="s">
        <v>1265</v>
      </c>
      <c r="F429" s="1" t="s">
        <v>1266</v>
      </c>
      <c r="G429" s="1">
        <v>53</v>
      </c>
      <c r="H429" s="1">
        <v>4</v>
      </c>
      <c r="I429" s="1">
        <v>2019</v>
      </c>
      <c r="J429" s="1">
        <v>9</v>
      </c>
      <c r="K429" s="1">
        <v>2</v>
      </c>
      <c r="L429" s="1">
        <v>257</v>
      </c>
      <c r="M429" s="1">
        <v>281</v>
      </c>
      <c r="N429" s="1" t="s">
        <v>6</v>
      </c>
      <c r="O429" s="1" t="s">
        <v>6</v>
      </c>
      <c r="P429" s="1" t="s">
        <v>6</v>
      </c>
    </row>
    <row r="430" spans="1:16" ht="15.75" customHeight="1">
      <c r="A430" s="1" t="s">
        <v>0</v>
      </c>
      <c r="B430" s="1" t="s">
        <v>3961</v>
      </c>
      <c r="C430" s="1" t="s">
        <v>3962</v>
      </c>
      <c r="D430" s="1" t="s">
        <v>3963</v>
      </c>
      <c r="E430" s="1" t="s">
        <v>3964</v>
      </c>
      <c r="F430" s="1" t="s">
        <v>3965</v>
      </c>
      <c r="G430" s="1">
        <v>44</v>
      </c>
      <c r="H430" s="1">
        <v>4</v>
      </c>
      <c r="I430" s="1">
        <v>2019</v>
      </c>
      <c r="J430" s="1">
        <v>47</v>
      </c>
      <c r="K430" s="1">
        <v>2</v>
      </c>
      <c r="L430" s="1">
        <v>73</v>
      </c>
      <c r="M430" s="1">
        <v>92</v>
      </c>
      <c r="N430" s="1" t="s">
        <v>6</v>
      </c>
      <c r="O430" s="1" t="s">
        <v>6</v>
      </c>
      <c r="P430" s="1" t="s">
        <v>6</v>
      </c>
    </row>
    <row r="431" spans="1:16" ht="15.75" customHeight="1">
      <c r="A431" s="1" t="s">
        <v>10</v>
      </c>
      <c r="B431" s="1" t="s">
        <v>3888</v>
      </c>
      <c r="C431" s="1" t="s">
        <v>3889</v>
      </c>
      <c r="D431" s="1" t="s">
        <v>2857</v>
      </c>
      <c r="E431" s="1" t="s">
        <v>3890</v>
      </c>
      <c r="F431" s="1" t="s">
        <v>3891</v>
      </c>
      <c r="H431" s="1">
        <v>3</v>
      </c>
      <c r="I431" s="1">
        <v>2019</v>
      </c>
      <c r="J431" s="1">
        <v>45</v>
      </c>
      <c r="K431" s="1">
        <v>3</v>
      </c>
      <c r="O431" s="1" t="s">
        <v>3892</v>
      </c>
    </row>
    <row r="432" spans="1:16" ht="15.75" customHeight="1">
      <c r="A432" s="1" t="s">
        <v>10</v>
      </c>
      <c r="B432" s="1" t="s">
        <v>416</v>
      </c>
      <c r="C432" s="1" t="s">
        <v>417</v>
      </c>
      <c r="D432" s="2" t="s">
        <v>418</v>
      </c>
      <c r="E432" s="1" t="s">
        <v>419</v>
      </c>
      <c r="F432" s="1" t="s">
        <v>420</v>
      </c>
      <c r="H432" s="1">
        <v>3</v>
      </c>
      <c r="I432" s="1">
        <v>2019</v>
      </c>
      <c r="J432" s="1">
        <v>10</v>
      </c>
      <c r="K432" s="1">
        <v>36</v>
      </c>
      <c r="O432" s="1" t="s">
        <v>421</v>
      </c>
    </row>
    <row r="433" spans="1:16" ht="15.75" customHeight="1">
      <c r="A433" s="1" t="s">
        <v>10</v>
      </c>
      <c r="B433" s="1" t="s">
        <v>2622</v>
      </c>
      <c r="C433" s="1" t="s">
        <v>2623</v>
      </c>
      <c r="D433" s="2" t="s">
        <v>418</v>
      </c>
      <c r="E433" s="1" t="s">
        <v>2624</v>
      </c>
      <c r="F433" s="1" t="s">
        <v>2625</v>
      </c>
      <c r="H433" s="1">
        <v>3</v>
      </c>
      <c r="I433" s="1">
        <v>2019</v>
      </c>
      <c r="J433" s="1">
        <v>10</v>
      </c>
      <c r="K433" s="1">
        <v>36</v>
      </c>
      <c r="O433" s="1" t="s">
        <v>2626</v>
      </c>
    </row>
    <row r="434" spans="1:16" ht="15.75" customHeight="1">
      <c r="A434" s="1" t="s">
        <v>0</v>
      </c>
      <c r="B434" s="1" t="s">
        <v>3643</v>
      </c>
      <c r="C434" s="1" t="s">
        <v>3644</v>
      </c>
      <c r="D434" s="1" t="s">
        <v>3645</v>
      </c>
      <c r="E434" s="1" t="s">
        <v>3646</v>
      </c>
      <c r="F434" s="1" t="s">
        <v>3647</v>
      </c>
      <c r="G434" s="1">
        <v>66</v>
      </c>
      <c r="H434" s="1">
        <v>3</v>
      </c>
      <c r="I434" s="1">
        <v>2019</v>
      </c>
      <c r="J434" s="1">
        <v>28</v>
      </c>
      <c r="K434" s="1">
        <v>4</v>
      </c>
      <c r="L434" s="1">
        <v>415</v>
      </c>
      <c r="M434" s="1">
        <v>439</v>
      </c>
      <c r="N434" s="1" t="s">
        <v>6</v>
      </c>
      <c r="O434" s="1" t="s">
        <v>3648</v>
      </c>
      <c r="P434" s="3" t="str">
        <f>HYPERLINK("http://dx.doi.org/10.1177/0117196819899243","http://dx.doi.org/10.1177/0117196819899243")</f>
        <v>http://dx.doi.org/10.1177/0117196819899243</v>
      </c>
    </row>
    <row r="435" spans="1:16" ht="15.75" customHeight="1">
      <c r="A435" s="1" t="s">
        <v>0</v>
      </c>
      <c r="B435" s="1" t="s">
        <v>2439</v>
      </c>
      <c r="C435" s="1" t="s">
        <v>2440</v>
      </c>
      <c r="D435" s="1" t="s">
        <v>1371</v>
      </c>
      <c r="E435" s="1" t="s">
        <v>2441</v>
      </c>
      <c r="F435" s="1" t="s">
        <v>2442</v>
      </c>
      <c r="G435" s="1">
        <v>40</v>
      </c>
      <c r="H435" s="1">
        <v>3</v>
      </c>
      <c r="I435" s="1">
        <v>2019</v>
      </c>
      <c r="J435" s="1">
        <v>45</v>
      </c>
      <c r="K435" s="1" t="s">
        <v>61</v>
      </c>
    </row>
    <row r="436" spans="1:16" ht="15.75" customHeight="1">
      <c r="A436" s="1" t="s">
        <v>10</v>
      </c>
      <c r="B436" s="2" t="s">
        <v>216</v>
      </c>
      <c r="C436" s="2" t="s">
        <v>217</v>
      </c>
      <c r="D436" s="1" t="s">
        <v>58</v>
      </c>
      <c r="E436" s="1" t="s">
        <v>218</v>
      </c>
      <c r="F436" s="1" t="s">
        <v>219</v>
      </c>
      <c r="H436" s="1">
        <v>3</v>
      </c>
      <c r="I436" s="1">
        <v>2019</v>
      </c>
      <c r="J436" s="1">
        <v>19</v>
      </c>
      <c r="K436" s="1">
        <v>2</v>
      </c>
      <c r="O436" s="1" t="s">
        <v>220</v>
      </c>
    </row>
    <row r="437" spans="1:16" ht="15.75" customHeight="1">
      <c r="A437" s="1" t="s">
        <v>10</v>
      </c>
      <c r="B437" s="1" t="s">
        <v>4388</v>
      </c>
      <c r="C437" s="1" t="s">
        <v>4389</v>
      </c>
      <c r="D437" s="1" t="s">
        <v>4390</v>
      </c>
      <c r="E437" s="1" t="s">
        <v>4391</v>
      </c>
      <c r="F437" s="1" t="s">
        <v>4392</v>
      </c>
      <c r="H437" s="1">
        <v>3</v>
      </c>
      <c r="I437" s="1">
        <v>2019</v>
      </c>
      <c r="J437" s="1">
        <v>24</v>
      </c>
      <c r="K437" s="1">
        <v>87</v>
      </c>
      <c r="O437" s="1" t="s">
        <v>4393</v>
      </c>
    </row>
    <row r="438" spans="1:16" ht="15.75" customHeight="1">
      <c r="A438" s="1" t="s">
        <v>0</v>
      </c>
      <c r="B438" s="1" t="s">
        <v>374</v>
      </c>
      <c r="C438" s="1" t="s">
        <v>375</v>
      </c>
      <c r="D438" s="1" t="s">
        <v>282</v>
      </c>
      <c r="E438" s="1" t="s">
        <v>376</v>
      </c>
      <c r="F438" s="1" t="s">
        <v>377</v>
      </c>
      <c r="G438" s="1">
        <v>71</v>
      </c>
      <c r="H438" s="1">
        <v>3</v>
      </c>
      <c r="I438" s="1">
        <v>2019</v>
      </c>
      <c r="J438" s="1">
        <v>29</v>
      </c>
      <c r="K438" s="1" t="s">
        <v>378</v>
      </c>
      <c r="O438" s="1" t="s">
        <v>379</v>
      </c>
    </row>
    <row r="439" spans="1:16" ht="15.75" customHeight="1">
      <c r="A439" s="1" t="s">
        <v>10</v>
      </c>
      <c r="B439" s="1" t="s">
        <v>6758</v>
      </c>
      <c r="C439" s="1" t="s">
        <v>6759</v>
      </c>
      <c r="D439" s="1" t="s">
        <v>6760</v>
      </c>
      <c r="E439" s="1" t="s">
        <v>6761</v>
      </c>
      <c r="F439" s="1" t="s">
        <v>6762</v>
      </c>
      <c r="H439" s="1">
        <v>2</v>
      </c>
      <c r="I439" s="1">
        <v>2019</v>
      </c>
      <c r="J439" s="1">
        <v>67</v>
      </c>
      <c r="K439" s="1">
        <v>1</v>
      </c>
      <c r="O439" s="1" t="s">
        <v>6763</v>
      </c>
    </row>
    <row r="440" spans="1:16" ht="15.75" customHeight="1">
      <c r="A440" s="1" t="s">
        <v>10</v>
      </c>
      <c r="B440" s="1" t="s">
        <v>719</v>
      </c>
      <c r="C440" s="1" t="s">
        <v>720</v>
      </c>
      <c r="D440" s="1" t="s">
        <v>721</v>
      </c>
      <c r="E440" s="1" t="s">
        <v>722</v>
      </c>
      <c r="F440" s="1" t="s">
        <v>723</v>
      </c>
      <c r="H440" s="1">
        <v>2</v>
      </c>
      <c r="I440" s="1">
        <v>2019</v>
      </c>
      <c r="J440" s="1">
        <v>27</v>
      </c>
      <c r="K440" s="1">
        <v>55</v>
      </c>
      <c r="O440" s="1" t="s">
        <v>724</v>
      </c>
    </row>
    <row r="441" spans="1:16" ht="15.75" customHeight="1">
      <c r="A441" s="1" t="s">
        <v>10</v>
      </c>
      <c r="B441" s="1" t="s">
        <v>310</v>
      </c>
      <c r="C441" s="1" t="s">
        <v>311</v>
      </c>
      <c r="D441" s="1" t="s">
        <v>312</v>
      </c>
      <c r="E441" s="1" t="s">
        <v>313</v>
      </c>
      <c r="F441" s="1" t="s">
        <v>314</v>
      </c>
      <c r="H441" s="1">
        <v>2</v>
      </c>
      <c r="I441" s="1">
        <v>2019</v>
      </c>
      <c r="J441" s="1">
        <v>7</v>
      </c>
      <c r="K441" s="1">
        <v>2</v>
      </c>
      <c r="O441" s="1" t="s">
        <v>315</v>
      </c>
    </row>
    <row r="442" spans="1:16" ht="15.75" customHeight="1">
      <c r="A442" s="1" t="s">
        <v>0</v>
      </c>
      <c r="B442" s="1" t="s">
        <v>3201</v>
      </c>
      <c r="C442" s="1" t="s">
        <v>3202</v>
      </c>
      <c r="D442" s="1" t="s">
        <v>2910</v>
      </c>
      <c r="E442" s="1" t="s">
        <v>3203</v>
      </c>
      <c r="F442" s="1" t="s">
        <v>3204</v>
      </c>
      <c r="G442" s="1">
        <v>45</v>
      </c>
      <c r="H442" s="1">
        <v>2</v>
      </c>
      <c r="I442" s="1">
        <v>2019</v>
      </c>
      <c r="J442" s="1">
        <v>20</v>
      </c>
      <c r="K442" s="1" t="s">
        <v>6</v>
      </c>
      <c r="L442" s="1" t="s">
        <v>6</v>
      </c>
      <c r="M442" s="1" t="s">
        <v>6</v>
      </c>
      <c r="N442" s="1" t="s">
        <v>3205</v>
      </c>
      <c r="O442" s="1" t="s">
        <v>3206</v>
      </c>
      <c r="P442" s="3" t="str">
        <f>HYPERLINK("http://dx.doi.org/10.21670/ref.1916037","http://dx.doi.org/10.21670/ref.1916037")</f>
        <v>http://dx.doi.org/10.21670/ref.1916037</v>
      </c>
    </row>
    <row r="443" spans="1:16" ht="15.75" customHeight="1">
      <c r="A443" s="1" t="s">
        <v>10</v>
      </c>
      <c r="B443" s="1" t="s">
        <v>5139</v>
      </c>
      <c r="C443" s="1" t="s">
        <v>5140</v>
      </c>
      <c r="D443" s="1" t="s">
        <v>3691</v>
      </c>
      <c r="E443" s="1" t="s">
        <v>5141</v>
      </c>
      <c r="F443" s="1" t="s">
        <v>5142</v>
      </c>
      <c r="H443" s="1">
        <v>2</v>
      </c>
      <c r="I443" s="1">
        <v>2019</v>
      </c>
      <c r="J443" s="1">
        <v>13</v>
      </c>
      <c r="K443" s="1">
        <v>4</v>
      </c>
    </row>
    <row r="444" spans="1:16" ht="15.75" customHeight="1">
      <c r="A444" s="1" t="s">
        <v>10</v>
      </c>
      <c r="B444" s="1" t="s">
        <v>4559</v>
      </c>
      <c r="C444" s="1" t="s">
        <v>4560</v>
      </c>
      <c r="D444" s="1" t="s">
        <v>3307</v>
      </c>
      <c r="E444" s="1" t="s">
        <v>4561</v>
      </c>
      <c r="F444" s="1" t="s">
        <v>4562</v>
      </c>
      <c r="H444" s="1">
        <v>2</v>
      </c>
      <c r="I444" s="1">
        <v>2019</v>
      </c>
      <c r="J444" s="1">
        <v>38</v>
      </c>
      <c r="K444" s="1">
        <v>2</v>
      </c>
      <c r="O444" s="1" t="s">
        <v>4563</v>
      </c>
    </row>
    <row r="445" spans="1:16" ht="15.75" customHeight="1">
      <c r="A445" s="1" t="s">
        <v>0</v>
      </c>
      <c r="B445" s="1" t="s">
        <v>3824</v>
      </c>
      <c r="C445" s="1" t="s">
        <v>3825</v>
      </c>
      <c r="D445" s="1" t="s">
        <v>2339</v>
      </c>
      <c r="E445" s="1" t="s">
        <v>3826</v>
      </c>
      <c r="F445" s="1" t="s">
        <v>3827</v>
      </c>
      <c r="G445" s="1">
        <v>59</v>
      </c>
      <c r="H445" s="1">
        <v>2</v>
      </c>
      <c r="I445" s="1">
        <v>2019</v>
      </c>
      <c r="K445" s="1" t="s">
        <v>3828</v>
      </c>
    </row>
    <row r="446" spans="1:16" ht="15.75" customHeight="1">
      <c r="A446" s="1" t="s">
        <v>0</v>
      </c>
      <c r="B446" s="1" t="s">
        <v>1369</v>
      </c>
      <c r="C446" s="1" t="s">
        <v>1370</v>
      </c>
      <c r="D446" s="1" t="s">
        <v>1371</v>
      </c>
      <c r="E446" s="1" t="s">
        <v>1372</v>
      </c>
      <c r="F446" s="1" t="s">
        <v>1373</v>
      </c>
      <c r="G446" s="1">
        <v>47</v>
      </c>
      <c r="H446" s="1">
        <v>2</v>
      </c>
      <c r="I446" s="1">
        <v>2019</v>
      </c>
      <c r="J446" s="1">
        <v>45</v>
      </c>
      <c r="K446" s="1" t="s">
        <v>605</v>
      </c>
    </row>
    <row r="447" spans="1:16" ht="15.75" customHeight="1">
      <c r="A447" s="1" t="s">
        <v>0</v>
      </c>
      <c r="B447" s="1" t="s">
        <v>6622</v>
      </c>
      <c r="C447" s="1" t="s">
        <v>6623</v>
      </c>
      <c r="D447" s="1" t="s">
        <v>696</v>
      </c>
      <c r="E447" s="1" t="s">
        <v>6624</v>
      </c>
      <c r="F447" s="1" t="s">
        <v>6625</v>
      </c>
      <c r="G447" s="1">
        <v>38</v>
      </c>
      <c r="H447" s="1">
        <v>1</v>
      </c>
      <c r="I447" s="1">
        <v>2019</v>
      </c>
      <c r="J447" s="1">
        <v>18</v>
      </c>
      <c r="K447" s="1">
        <v>5</v>
      </c>
      <c r="L447" s="1" t="s">
        <v>6</v>
      </c>
      <c r="M447" s="1" t="s">
        <v>6</v>
      </c>
      <c r="N447" s="1" t="s">
        <v>6</v>
      </c>
      <c r="O447" s="1" t="s">
        <v>6626</v>
      </c>
      <c r="P447" s="3" t="str">
        <f>HYPERLINK("http://dx.doi.org/10.11144/Javeriana.upsy18-5.feai","http://dx.doi.org/10.11144/Javeriana.upsy18-5.feai")</f>
        <v>http://dx.doi.org/10.11144/Javeriana.upsy18-5.feai</v>
      </c>
    </row>
    <row r="448" spans="1:16" ht="15.75" customHeight="1">
      <c r="A448" s="1" t="s">
        <v>463</v>
      </c>
      <c r="B448" s="1" t="s">
        <v>4150</v>
      </c>
      <c r="C448" s="1" t="s">
        <v>4151</v>
      </c>
      <c r="D448" s="1" t="s">
        <v>4152</v>
      </c>
      <c r="E448" s="1" t="s">
        <v>4153</v>
      </c>
      <c r="F448" s="1" t="s">
        <v>4154</v>
      </c>
      <c r="H448" s="1">
        <v>1</v>
      </c>
      <c r="I448" s="1">
        <v>2019</v>
      </c>
      <c r="O448" s="1" t="s">
        <v>4155</v>
      </c>
    </row>
    <row r="449" spans="1:16" ht="15.75" customHeight="1">
      <c r="A449" s="1" t="s">
        <v>0</v>
      </c>
      <c r="B449" s="1" t="s">
        <v>4223</v>
      </c>
      <c r="C449" s="1" t="s">
        <v>4224</v>
      </c>
      <c r="D449" s="1" t="s">
        <v>4225</v>
      </c>
      <c r="E449" s="1" t="s">
        <v>4226</v>
      </c>
      <c r="F449" s="1" t="s">
        <v>4227</v>
      </c>
      <c r="G449" s="1">
        <v>26</v>
      </c>
      <c r="H449" s="1">
        <v>1</v>
      </c>
      <c r="I449" s="1">
        <v>2019</v>
      </c>
      <c r="J449" s="1">
        <v>11</v>
      </c>
      <c r="K449" s="1">
        <v>2</v>
      </c>
      <c r="L449" s="1">
        <v>103</v>
      </c>
      <c r="M449" s="1">
        <v>120</v>
      </c>
      <c r="N449" s="1" t="s">
        <v>6</v>
      </c>
      <c r="O449" s="1" t="s">
        <v>4228</v>
      </c>
      <c r="P449" s="3" t="str">
        <f>HYPERLINK("http://dx.doi.org/10.17151/rlef.2019.11.2.6","http://dx.doi.org/10.17151/rlef.2019.11.2.6")</f>
        <v>http://dx.doi.org/10.17151/rlef.2019.11.2.6</v>
      </c>
    </row>
    <row r="450" spans="1:16" ht="15.75" customHeight="1">
      <c r="A450" s="1" t="s">
        <v>10</v>
      </c>
      <c r="B450" s="1" t="s">
        <v>1283</v>
      </c>
      <c r="C450" s="1" t="s">
        <v>1289</v>
      </c>
      <c r="D450" s="1" t="s">
        <v>1290</v>
      </c>
      <c r="E450" s="1" t="s">
        <v>1291</v>
      </c>
      <c r="F450" s="1" t="s">
        <v>1292</v>
      </c>
      <c r="H450" s="1">
        <v>1</v>
      </c>
      <c r="I450" s="1">
        <v>2019</v>
      </c>
      <c r="J450" s="1">
        <v>23</v>
      </c>
      <c r="K450" s="1">
        <v>2</v>
      </c>
      <c r="O450" s="1" t="s">
        <v>1293</v>
      </c>
    </row>
    <row r="451" spans="1:16" ht="15.75" customHeight="1">
      <c r="A451" s="1" t="s">
        <v>10</v>
      </c>
      <c r="B451" s="1" t="s">
        <v>5367</v>
      </c>
      <c r="C451" s="1" t="s">
        <v>5368</v>
      </c>
      <c r="D451" s="1" t="s">
        <v>70</v>
      </c>
      <c r="E451" s="1" t="s">
        <v>5369</v>
      </c>
      <c r="F451" s="1" t="s">
        <v>5370</v>
      </c>
      <c r="H451" s="1">
        <v>1</v>
      </c>
      <c r="I451" s="1">
        <v>2019</v>
      </c>
      <c r="J451" s="1">
        <v>10</v>
      </c>
      <c r="K451" s="1">
        <v>36</v>
      </c>
      <c r="O451" s="1" t="s">
        <v>5371</v>
      </c>
    </row>
    <row r="452" spans="1:16" ht="15.75" customHeight="1">
      <c r="A452" s="1" t="s">
        <v>10</v>
      </c>
      <c r="B452" s="1" t="s">
        <v>6862</v>
      </c>
      <c r="C452" s="1" t="s">
        <v>6863</v>
      </c>
      <c r="D452" s="2" t="s">
        <v>1874</v>
      </c>
      <c r="E452" s="1" t="s">
        <v>6864</v>
      </c>
      <c r="F452" s="1" t="s">
        <v>6865</v>
      </c>
      <c r="H452" s="1">
        <v>1</v>
      </c>
      <c r="I452" s="1">
        <v>2019</v>
      </c>
      <c r="K452" s="1">
        <v>46</v>
      </c>
      <c r="O452" s="1" t="s">
        <v>6866</v>
      </c>
    </row>
    <row r="453" spans="1:16" ht="15.75" customHeight="1">
      <c r="A453" s="1" t="s">
        <v>10</v>
      </c>
      <c r="B453" s="1" t="s">
        <v>4394</v>
      </c>
      <c r="C453" s="1" t="s">
        <v>4404</v>
      </c>
      <c r="D453" s="1" t="s">
        <v>2857</v>
      </c>
      <c r="E453" s="1" t="s">
        <v>4405</v>
      </c>
      <c r="F453" s="1" t="s">
        <v>4406</v>
      </c>
      <c r="H453" s="1">
        <v>1</v>
      </c>
      <c r="I453" s="1">
        <v>2019</v>
      </c>
      <c r="J453" s="1">
        <v>45</v>
      </c>
      <c r="K453" s="1">
        <v>1</v>
      </c>
      <c r="O453" s="1" t="s">
        <v>4407</v>
      </c>
    </row>
    <row r="454" spans="1:16" ht="15.75" customHeight="1">
      <c r="A454" s="1" t="s">
        <v>10</v>
      </c>
      <c r="B454" s="1" t="s">
        <v>851</v>
      </c>
      <c r="C454" s="1" t="s">
        <v>862</v>
      </c>
      <c r="D454" s="1" t="s">
        <v>858</v>
      </c>
      <c r="E454" s="1" t="s">
        <v>863</v>
      </c>
      <c r="F454" s="1" t="s">
        <v>864</v>
      </c>
      <c r="H454" s="1">
        <v>1</v>
      </c>
      <c r="I454" s="1">
        <v>2019</v>
      </c>
      <c r="J454" s="1">
        <v>38</v>
      </c>
      <c r="K454" s="1">
        <v>2</v>
      </c>
      <c r="O454" s="1" t="s">
        <v>865</v>
      </c>
    </row>
    <row r="455" spans="1:16" ht="15.75" customHeight="1">
      <c r="A455" s="1" t="s">
        <v>10</v>
      </c>
      <c r="B455" s="1" t="s">
        <v>2855</v>
      </c>
      <c r="C455" s="1" t="s">
        <v>2856</v>
      </c>
      <c r="D455" s="1" t="s">
        <v>2857</v>
      </c>
      <c r="E455" s="1" t="s">
        <v>2858</v>
      </c>
      <c r="F455" s="1" t="s">
        <v>2859</v>
      </c>
      <c r="H455" s="1">
        <v>1</v>
      </c>
      <c r="I455" s="1">
        <v>2019</v>
      </c>
      <c r="J455" s="1">
        <v>45</v>
      </c>
      <c r="K455" s="1">
        <v>3</v>
      </c>
      <c r="O455" s="1" t="s">
        <v>2860</v>
      </c>
    </row>
    <row r="456" spans="1:16" ht="15.75" customHeight="1">
      <c r="A456" s="1" t="s">
        <v>0</v>
      </c>
      <c r="B456" s="1" t="s">
        <v>4579</v>
      </c>
      <c r="C456" s="1" t="s">
        <v>4580</v>
      </c>
      <c r="D456" s="1" t="s">
        <v>4581</v>
      </c>
      <c r="E456" s="1" t="s">
        <v>4582</v>
      </c>
      <c r="F456" s="1" t="s">
        <v>4583</v>
      </c>
      <c r="G456" s="1">
        <v>63</v>
      </c>
      <c r="H456" s="1">
        <v>1</v>
      </c>
      <c r="I456" s="1">
        <v>2019</v>
      </c>
      <c r="J456" s="1">
        <v>51</v>
      </c>
      <c r="K456" s="1" t="s">
        <v>4584</v>
      </c>
      <c r="O456" s="1" t="s">
        <v>4585</v>
      </c>
    </row>
    <row r="457" spans="1:16" ht="15.75" customHeight="1">
      <c r="A457" s="1" t="s">
        <v>0</v>
      </c>
      <c r="B457" s="1" t="s">
        <v>3139</v>
      </c>
      <c r="C457" s="1" t="s">
        <v>3140</v>
      </c>
      <c r="D457" s="1" t="s">
        <v>1371</v>
      </c>
      <c r="E457" s="1" t="s">
        <v>3141</v>
      </c>
      <c r="F457" s="1" t="s">
        <v>3142</v>
      </c>
      <c r="G457" s="1">
        <v>23</v>
      </c>
      <c r="H457" s="1">
        <v>1</v>
      </c>
      <c r="I457" s="1">
        <v>2019</v>
      </c>
      <c r="J457" s="1">
        <v>45</v>
      </c>
      <c r="K457" s="1" t="s">
        <v>605</v>
      </c>
    </row>
    <row r="458" spans="1:16" ht="15.75" customHeight="1">
      <c r="A458" s="1" t="s">
        <v>0</v>
      </c>
      <c r="B458" s="1" t="s">
        <v>3987</v>
      </c>
      <c r="C458" s="1" t="s">
        <v>3988</v>
      </c>
      <c r="D458" s="1" t="s">
        <v>3989</v>
      </c>
      <c r="E458" s="1" t="s">
        <v>3990</v>
      </c>
      <c r="F458" s="1" t="s">
        <v>3991</v>
      </c>
      <c r="G458" s="1">
        <v>48</v>
      </c>
      <c r="H458" s="1">
        <v>1</v>
      </c>
      <c r="I458" s="1">
        <v>2019</v>
      </c>
      <c r="J458" s="1" t="s">
        <v>6</v>
      </c>
      <c r="K458" s="1">
        <v>10</v>
      </c>
      <c r="L458" s="1">
        <v>159</v>
      </c>
      <c r="M458" s="1">
        <v>186</v>
      </c>
      <c r="N458" s="1" t="s">
        <v>6</v>
      </c>
      <c r="O458" s="1" t="s">
        <v>3992</v>
      </c>
      <c r="P458" s="3" t="str">
        <f>HYPERLINK("http://dx.doi.org/10.14516/fdp.2019.010.001.006","http://dx.doi.org/10.14516/fdp.2019.010.001.006")</f>
        <v>http://dx.doi.org/10.14516/fdp.2019.010.001.006</v>
      </c>
    </row>
    <row r="459" spans="1:16" ht="15.75" customHeight="1">
      <c r="A459" s="1" t="s">
        <v>0</v>
      </c>
      <c r="B459" s="1" t="s">
        <v>1643</v>
      </c>
      <c r="C459" s="1" t="s">
        <v>1644</v>
      </c>
      <c r="D459" s="1" t="s">
        <v>1645</v>
      </c>
      <c r="E459" s="1" t="s">
        <v>1646</v>
      </c>
      <c r="F459" s="1" t="s">
        <v>1647</v>
      </c>
      <c r="G459" s="1">
        <v>64</v>
      </c>
      <c r="H459" s="1">
        <v>1</v>
      </c>
      <c r="I459" s="1">
        <v>2019</v>
      </c>
      <c r="J459" s="1">
        <v>104</v>
      </c>
      <c r="K459" s="1">
        <v>1</v>
      </c>
      <c r="L459" s="1">
        <v>101</v>
      </c>
      <c r="M459" s="1">
        <v>128</v>
      </c>
      <c r="N459" s="1" t="s">
        <v>6</v>
      </c>
      <c r="O459" s="1" t="s">
        <v>1648</v>
      </c>
      <c r="P459" s="3" t="str">
        <f>HYPERLINK("http://dx.doi.org/10.5565/rev/papers.2346","http://dx.doi.org/10.5565/rev/papers.2346")</f>
        <v>http://dx.doi.org/10.5565/rev/papers.2346</v>
      </c>
    </row>
    <row r="460" spans="1:16" ht="15.75" customHeight="1">
      <c r="A460" s="1" t="s">
        <v>0</v>
      </c>
      <c r="B460" s="1" t="s">
        <v>3755</v>
      </c>
      <c r="C460" s="1" t="s">
        <v>3756</v>
      </c>
      <c r="D460" s="1" t="s">
        <v>3757</v>
      </c>
      <c r="E460" s="1" t="s">
        <v>3758</v>
      </c>
      <c r="F460" s="1" t="s">
        <v>3759</v>
      </c>
      <c r="G460" s="1">
        <v>73</v>
      </c>
      <c r="H460" s="1">
        <v>1</v>
      </c>
      <c r="I460" s="1">
        <v>2019</v>
      </c>
      <c r="J460" s="1">
        <v>25</v>
      </c>
      <c r="K460" s="1">
        <v>3</v>
      </c>
      <c r="L460" s="1">
        <v>577</v>
      </c>
      <c r="M460" s="1">
        <v>598</v>
      </c>
      <c r="N460" s="1" t="s">
        <v>6</v>
      </c>
      <c r="O460" s="1" t="s">
        <v>3760</v>
      </c>
      <c r="P460" s="3" t="str">
        <f>HYPERLINK("http://dx.doi.org/10.1590/TEM-1980-542X2019v250303","http://dx.doi.org/10.1590/TEM-1980-542X2019v250303")</f>
        <v>http://dx.doi.org/10.1590/TEM-1980-542X2019v250303</v>
      </c>
    </row>
    <row r="461" spans="1:16" ht="15.75" customHeight="1">
      <c r="A461" s="1" t="s">
        <v>0</v>
      </c>
      <c r="B461" s="1" t="s">
        <v>3471</v>
      </c>
      <c r="C461" s="1" t="s">
        <v>3477</v>
      </c>
      <c r="D461" s="2" t="s">
        <v>3478</v>
      </c>
      <c r="E461" s="1" t="s">
        <v>3479</v>
      </c>
      <c r="F461" s="1" t="s">
        <v>3480</v>
      </c>
      <c r="G461" s="1">
        <v>25</v>
      </c>
      <c r="H461" s="1">
        <v>1</v>
      </c>
      <c r="I461" s="1">
        <v>2019</v>
      </c>
      <c r="J461" s="1">
        <v>27</v>
      </c>
      <c r="K461" s="1" t="s">
        <v>1854</v>
      </c>
      <c r="O461" s="1" t="s">
        <v>3481</v>
      </c>
    </row>
    <row r="462" spans="1:16" ht="15.75" customHeight="1">
      <c r="A462" s="1" t="s">
        <v>0</v>
      </c>
      <c r="B462" s="1" t="s">
        <v>1997</v>
      </c>
      <c r="C462" s="1" t="s">
        <v>1998</v>
      </c>
      <c r="D462" s="1" t="s">
        <v>1999</v>
      </c>
      <c r="E462" s="1" t="s">
        <v>2000</v>
      </c>
      <c r="F462" s="1" t="s">
        <v>2001</v>
      </c>
      <c r="G462" s="1">
        <v>27</v>
      </c>
      <c r="H462" s="1">
        <v>1</v>
      </c>
      <c r="I462" s="1">
        <v>2019</v>
      </c>
      <c r="J462" s="1" t="s">
        <v>6</v>
      </c>
      <c r="K462" s="1">
        <v>31</v>
      </c>
      <c r="L462" s="1">
        <v>32</v>
      </c>
      <c r="M462" s="1">
        <v>41</v>
      </c>
      <c r="N462" s="1" t="s">
        <v>6</v>
      </c>
      <c r="O462" s="1" t="s">
        <v>6</v>
      </c>
      <c r="P462" s="1" t="s">
        <v>6</v>
      </c>
    </row>
    <row r="463" spans="1:16" ht="15.75" customHeight="1">
      <c r="A463" s="1" t="s">
        <v>10</v>
      </c>
      <c r="B463" s="1" t="s">
        <v>5296</v>
      </c>
      <c r="C463" s="1" t="s">
        <v>5297</v>
      </c>
      <c r="D463" s="1" t="s">
        <v>3878</v>
      </c>
      <c r="E463" s="1" t="s">
        <v>5298</v>
      </c>
      <c r="F463" s="1" t="s">
        <v>5299</v>
      </c>
      <c r="H463" s="1">
        <v>0</v>
      </c>
      <c r="I463" s="1">
        <v>2019</v>
      </c>
      <c r="J463" s="1">
        <v>27</v>
      </c>
      <c r="K463" s="1">
        <v>71</v>
      </c>
      <c r="O463" s="1" t="s">
        <v>5300</v>
      </c>
    </row>
    <row r="464" spans="1:16" ht="15.75" customHeight="1">
      <c r="A464" s="1" t="s">
        <v>10</v>
      </c>
      <c r="B464" s="1" t="s">
        <v>1976</v>
      </c>
      <c r="C464" s="1" t="s">
        <v>1977</v>
      </c>
      <c r="D464" s="1" t="s">
        <v>1978</v>
      </c>
      <c r="E464" s="1" t="s">
        <v>1979</v>
      </c>
      <c r="F464" s="1" t="s">
        <v>1980</v>
      </c>
      <c r="H464" s="1">
        <v>0</v>
      </c>
      <c r="I464" s="1">
        <v>2019</v>
      </c>
      <c r="J464" s="1">
        <v>5</v>
      </c>
      <c r="K464" s="1">
        <v>3</v>
      </c>
      <c r="O464" s="1" t="s">
        <v>1981</v>
      </c>
    </row>
    <row r="465" spans="1:16" ht="15.75" customHeight="1">
      <c r="A465" s="1" t="s">
        <v>10</v>
      </c>
      <c r="B465" s="1" t="s">
        <v>1066</v>
      </c>
      <c r="C465" s="1" t="s">
        <v>1067</v>
      </c>
      <c r="D465" s="1" t="s">
        <v>1068</v>
      </c>
      <c r="E465" s="1" t="s">
        <v>1069</v>
      </c>
      <c r="F465" s="1" t="s">
        <v>1070</v>
      </c>
      <c r="H465" s="1">
        <v>0</v>
      </c>
      <c r="I465" s="1">
        <v>2019</v>
      </c>
      <c r="J465" s="1">
        <v>16</v>
      </c>
      <c r="O465" s="1" t="s">
        <v>1071</v>
      </c>
    </row>
    <row r="466" spans="1:16" ht="15.75" customHeight="1">
      <c r="A466" s="1" t="s">
        <v>463</v>
      </c>
      <c r="B466" s="1" t="s">
        <v>1747</v>
      </c>
      <c r="C466" s="1" t="s">
        <v>1748</v>
      </c>
      <c r="D466" s="1" t="s">
        <v>1749</v>
      </c>
      <c r="E466" s="1" t="s">
        <v>1750</v>
      </c>
      <c r="F466" s="1" t="s">
        <v>1751</v>
      </c>
      <c r="H466" s="1">
        <v>0</v>
      </c>
      <c r="I466" s="1">
        <v>2019</v>
      </c>
      <c r="O466" s="1" t="s">
        <v>1752</v>
      </c>
    </row>
    <row r="467" spans="1:16" ht="15.75" customHeight="1">
      <c r="A467" s="1" t="s">
        <v>0</v>
      </c>
      <c r="B467" s="1" t="s">
        <v>2471</v>
      </c>
      <c r="C467" s="1" t="s">
        <v>2472</v>
      </c>
      <c r="D467" s="1" t="s">
        <v>58</v>
      </c>
      <c r="E467" s="1" t="s">
        <v>2473</v>
      </c>
      <c r="F467" s="1" t="s">
        <v>2474</v>
      </c>
      <c r="G467" s="1">
        <v>22</v>
      </c>
      <c r="H467" s="1">
        <v>0</v>
      </c>
      <c r="I467" s="1">
        <v>2019</v>
      </c>
      <c r="J467" s="1">
        <v>19</v>
      </c>
      <c r="K467" s="1">
        <v>2</v>
      </c>
      <c r="L467" s="1">
        <v>7</v>
      </c>
      <c r="M467" s="1">
        <v>25</v>
      </c>
      <c r="N467" s="1" t="s">
        <v>6</v>
      </c>
      <c r="O467" s="1" t="s">
        <v>2475</v>
      </c>
      <c r="P467" s="3" t="str">
        <f>HYPERLINK("http://dx.doi.org/10.4067/S0719-09482019000200007","http://dx.doi.org/10.4067/S0719-09482019000200007")</f>
        <v>http://dx.doi.org/10.4067/S0719-09482019000200007</v>
      </c>
    </row>
    <row r="468" spans="1:16" ht="15.75" customHeight="1">
      <c r="A468" s="1" t="s">
        <v>0</v>
      </c>
      <c r="B468" s="1" t="s">
        <v>6296</v>
      </c>
      <c r="C468" s="1" t="s">
        <v>6297</v>
      </c>
      <c r="D468" s="1" t="s">
        <v>4717</v>
      </c>
      <c r="E468" s="1" t="s">
        <v>6298</v>
      </c>
      <c r="F468" s="1" t="s">
        <v>6299</v>
      </c>
      <c r="G468" s="1">
        <v>47</v>
      </c>
      <c r="H468" s="1">
        <v>0</v>
      </c>
      <c r="I468" s="1">
        <v>2019</v>
      </c>
      <c r="J468" s="1" t="s">
        <v>6</v>
      </c>
      <c r="K468" s="1">
        <v>48</v>
      </c>
      <c r="L468" s="1">
        <v>179</v>
      </c>
      <c r="M468" s="1">
        <v>193</v>
      </c>
      <c r="N468" s="1" t="s">
        <v>6</v>
      </c>
      <c r="O468" s="1" t="s">
        <v>6300</v>
      </c>
      <c r="P468" s="3" t="str">
        <f>HYPERLINK("http://dx.doi.org/10.32735/S0718-2201201900048625","http://dx.doi.org/10.32735/S0718-2201201900048625")</f>
        <v>http://dx.doi.org/10.32735/S0718-2201201900048625</v>
      </c>
    </row>
    <row r="469" spans="1:16" ht="15.75" customHeight="1">
      <c r="A469" s="1" t="s">
        <v>0</v>
      </c>
      <c r="B469" s="1" t="s">
        <v>678</v>
      </c>
      <c r="C469" s="1" t="s">
        <v>679</v>
      </c>
      <c r="D469" s="1" t="s">
        <v>680</v>
      </c>
      <c r="E469" s="1" t="s">
        <v>681</v>
      </c>
      <c r="F469" s="1" t="s">
        <v>682</v>
      </c>
      <c r="G469" s="1">
        <v>24</v>
      </c>
      <c r="H469" s="1">
        <v>0</v>
      </c>
      <c r="I469" s="1">
        <v>2019</v>
      </c>
      <c r="J469" s="1">
        <v>29</v>
      </c>
      <c r="K469" s="1">
        <v>1</v>
      </c>
      <c r="L469" s="1">
        <v>29</v>
      </c>
      <c r="M469" s="1">
        <v>44</v>
      </c>
      <c r="N469" s="1" t="s">
        <v>6</v>
      </c>
      <c r="O469" s="1" t="s">
        <v>6</v>
      </c>
      <c r="P469" s="1" t="s">
        <v>6</v>
      </c>
    </row>
    <row r="470" spans="1:16" ht="15.75" customHeight="1">
      <c r="A470" s="1" t="s">
        <v>10</v>
      </c>
      <c r="B470" s="1" t="s">
        <v>5718</v>
      </c>
      <c r="C470" s="1" t="s">
        <v>5719</v>
      </c>
      <c r="D470" s="1" t="s">
        <v>5720</v>
      </c>
      <c r="E470" s="1" t="s">
        <v>5721</v>
      </c>
      <c r="F470" s="1" t="s">
        <v>5722</v>
      </c>
      <c r="H470" s="1">
        <v>0</v>
      </c>
      <c r="I470" s="1">
        <v>2019</v>
      </c>
      <c r="J470" s="1">
        <v>37</v>
      </c>
      <c r="K470" s="1">
        <v>1</v>
      </c>
    </row>
    <row r="471" spans="1:16" ht="15.75" customHeight="1">
      <c r="A471" s="1" t="s">
        <v>10</v>
      </c>
      <c r="B471" s="1" t="s">
        <v>3870</v>
      </c>
      <c r="C471" s="1" t="s">
        <v>3871</v>
      </c>
      <c r="D471" s="1" t="s">
        <v>3872</v>
      </c>
      <c r="E471" s="1" t="s">
        <v>3873</v>
      </c>
      <c r="F471" s="1" t="s">
        <v>3874</v>
      </c>
      <c r="H471" s="1">
        <v>0</v>
      </c>
      <c r="I471" s="1">
        <v>2019</v>
      </c>
      <c r="J471" s="1">
        <v>11</v>
      </c>
      <c r="K471" s="1">
        <v>1</v>
      </c>
      <c r="O471" s="1" t="s">
        <v>3875</v>
      </c>
    </row>
    <row r="472" spans="1:16" ht="15.75" customHeight="1">
      <c r="A472" s="1" t="s">
        <v>0</v>
      </c>
      <c r="B472" s="1" t="s">
        <v>5902</v>
      </c>
      <c r="C472" s="1" t="s">
        <v>5903</v>
      </c>
      <c r="D472" s="1" t="s">
        <v>996</v>
      </c>
      <c r="E472" s="1" t="s">
        <v>5904</v>
      </c>
      <c r="F472" s="1" t="s">
        <v>5905</v>
      </c>
      <c r="G472" s="1">
        <v>32</v>
      </c>
      <c r="H472" s="1">
        <v>0</v>
      </c>
      <c r="I472" s="1">
        <v>2019</v>
      </c>
      <c r="J472" s="1">
        <v>29</v>
      </c>
      <c r="K472" s="1">
        <v>1</v>
      </c>
      <c r="L472" s="1">
        <v>59</v>
      </c>
      <c r="M472" s="1">
        <v>79</v>
      </c>
      <c r="N472" s="1" t="s">
        <v>6</v>
      </c>
      <c r="O472" s="1" t="s">
        <v>5906</v>
      </c>
      <c r="P472" s="3" t="str">
        <f>HYPERLINK("http://dx.doi.org/10.7770/0719-2789.2019.CUHSO.02.A04","http://dx.doi.org/10.7770/0719-2789.2019.CUHSO.02.A04")</f>
        <v>http://dx.doi.org/10.7770/0719-2789.2019.CUHSO.02.A04</v>
      </c>
    </row>
    <row r="473" spans="1:16" ht="15.75" customHeight="1">
      <c r="A473" s="1" t="s">
        <v>0</v>
      </c>
      <c r="B473" s="1" t="s">
        <v>5490</v>
      </c>
      <c r="C473" s="1" t="s">
        <v>5491</v>
      </c>
      <c r="D473" s="1" t="s">
        <v>5374</v>
      </c>
      <c r="E473" s="1" t="s">
        <v>5492</v>
      </c>
      <c r="F473" s="1" t="s">
        <v>5493</v>
      </c>
      <c r="G473" s="1">
        <v>83</v>
      </c>
      <c r="H473" s="1">
        <v>0</v>
      </c>
      <c r="I473" s="1">
        <v>2019</v>
      </c>
      <c r="J473" s="1">
        <v>34</v>
      </c>
      <c r="K473" s="1">
        <v>96</v>
      </c>
      <c r="L473" s="1">
        <v>77</v>
      </c>
      <c r="M473" s="1">
        <v>102</v>
      </c>
      <c r="N473" s="1" t="s">
        <v>6</v>
      </c>
      <c r="O473" s="1" t="s">
        <v>6</v>
      </c>
      <c r="P473" s="1" t="s">
        <v>6</v>
      </c>
    </row>
    <row r="474" spans="1:16" ht="15.75" customHeight="1">
      <c r="A474" s="1" t="s">
        <v>0</v>
      </c>
      <c r="B474" s="1" t="s">
        <v>2768</v>
      </c>
      <c r="C474" s="1" t="s">
        <v>2769</v>
      </c>
      <c r="D474" s="1" t="s">
        <v>996</v>
      </c>
      <c r="E474" s="1" t="s">
        <v>2770</v>
      </c>
      <c r="F474" s="1" t="s">
        <v>2771</v>
      </c>
      <c r="G474" s="1">
        <v>21</v>
      </c>
      <c r="H474" s="1">
        <v>0</v>
      </c>
      <c r="I474" s="1">
        <v>2019</v>
      </c>
      <c r="J474" s="1">
        <v>29</v>
      </c>
      <c r="K474" s="1">
        <v>1</v>
      </c>
      <c r="L474" s="1">
        <v>13</v>
      </c>
      <c r="M474" s="1">
        <v>32</v>
      </c>
      <c r="N474" s="1" t="s">
        <v>6</v>
      </c>
      <c r="O474" s="1" t="s">
        <v>2772</v>
      </c>
      <c r="P474" s="3" t="str">
        <f>HYPERLINK("http://dx.doi.org/10.7770/0719-2789.2019.CUHSO.02.A02","http://dx.doi.org/10.7770/0719-2789.2019.CUHSO.02.A02")</f>
        <v>http://dx.doi.org/10.7770/0719-2789.2019.CUHSO.02.A02</v>
      </c>
    </row>
    <row r="475" spans="1:16" ht="15.75" customHeight="1">
      <c r="A475" s="1" t="s">
        <v>0</v>
      </c>
      <c r="B475" s="1" t="s">
        <v>834</v>
      </c>
      <c r="C475" s="1" t="s">
        <v>835</v>
      </c>
      <c r="D475" s="1" t="s">
        <v>836</v>
      </c>
      <c r="E475" s="1" t="s">
        <v>837</v>
      </c>
      <c r="F475" s="1" t="s">
        <v>838</v>
      </c>
      <c r="G475" s="1">
        <v>47</v>
      </c>
      <c r="H475" s="1">
        <v>0</v>
      </c>
      <c r="I475" s="1">
        <v>2019</v>
      </c>
      <c r="J475" s="1">
        <v>11</v>
      </c>
      <c r="K475" s="1">
        <v>1</v>
      </c>
      <c r="L475" s="1">
        <v>94</v>
      </c>
      <c r="M475" s="1">
        <v>122</v>
      </c>
      <c r="N475" s="1" t="s">
        <v>6</v>
      </c>
      <c r="O475" s="1" t="s">
        <v>839</v>
      </c>
      <c r="P475" s="3" t="str">
        <f>HYPERLINK("http://dx.doi.org/10.6092/issn.2036-0967/9563","http://dx.doi.org/10.6092/issn.2036-0967/9563")</f>
        <v>http://dx.doi.org/10.6092/issn.2036-0967/9563</v>
      </c>
    </row>
    <row r="476" spans="1:16" ht="15.75" customHeight="1">
      <c r="A476" s="1" t="s">
        <v>10</v>
      </c>
      <c r="B476" s="1" t="s">
        <v>3679</v>
      </c>
      <c r="C476" s="1" t="s">
        <v>3680</v>
      </c>
      <c r="D476" s="1" t="s">
        <v>3681</v>
      </c>
      <c r="E476" s="1" t="s">
        <v>3682</v>
      </c>
      <c r="F476" s="1" t="s">
        <v>3683</v>
      </c>
      <c r="H476" s="1">
        <v>0</v>
      </c>
      <c r="I476" s="1">
        <v>2019</v>
      </c>
      <c r="J476" s="1">
        <v>7</v>
      </c>
      <c r="K476" s="1">
        <v>2</v>
      </c>
      <c r="O476" s="1" t="s">
        <v>3684</v>
      </c>
    </row>
    <row r="477" spans="1:16" ht="15.75" customHeight="1">
      <c r="A477" s="1" t="s">
        <v>0</v>
      </c>
      <c r="B477" s="1" t="s">
        <v>44</v>
      </c>
      <c r="C477" s="1" t="s">
        <v>45</v>
      </c>
      <c r="D477" s="1" t="s">
        <v>46</v>
      </c>
      <c r="E477" s="1" t="s">
        <v>47</v>
      </c>
      <c r="F477" s="1" t="s">
        <v>48</v>
      </c>
      <c r="G477" s="1">
        <v>38</v>
      </c>
      <c r="H477" s="1">
        <v>0</v>
      </c>
      <c r="I477" s="1">
        <v>2019</v>
      </c>
      <c r="J477" s="1">
        <v>24</v>
      </c>
      <c r="K477" s="1">
        <v>2</v>
      </c>
      <c r="L477" s="1">
        <v>49</v>
      </c>
      <c r="M477" s="1">
        <v>74</v>
      </c>
      <c r="N477" s="1" t="s">
        <v>6</v>
      </c>
      <c r="O477" s="1" t="s">
        <v>49</v>
      </c>
      <c r="P477" s="3" t="str">
        <f>HYPERLINK("http://dx.doi.org/10.18273/revanu.v24n2-2019002","http://dx.doi.org/10.18273/revanu.v24n2-2019002")</f>
        <v>http://dx.doi.org/10.18273/revanu.v24n2-2019002</v>
      </c>
    </row>
    <row r="478" spans="1:16" ht="15.75" customHeight="1">
      <c r="A478" s="1" t="s">
        <v>0</v>
      </c>
      <c r="B478" s="1" t="s">
        <v>5239</v>
      </c>
      <c r="C478" s="1" t="s">
        <v>5240</v>
      </c>
      <c r="D478" s="1" t="s">
        <v>5241</v>
      </c>
      <c r="E478" s="1" t="s">
        <v>5242</v>
      </c>
      <c r="F478" s="1" t="s">
        <v>5243</v>
      </c>
      <c r="G478" s="1">
        <v>21</v>
      </c>
      <c r="H478" s="1">
        <v>0</v>
      </c>
      <c r="I478" s="1">
        <v>2019</v>
      </c>
      <c r="J478" s="1">
        <v>12</v>
      </c>
      <c r="K478" s="1">
        <v>24</v>
      </c>
      <c r="L478" s="1">
        <v>459</v>
      </c>
      <c r="M478" s="1">
        <v>487</v>
      </c>
      <c r="N478" s="1" t="s">
        <v>6</v>
      </c>
      <c r="O478" s="1" t="s">
        <v>5244</v>
      </c>
      <c r="P478" s="3" t="str">
        <f>HYPERLINK("http://dx.doi.org/10.5433/1984-3356.2019v12n24p459","http://dx.doi.org/10.5433/1984-3356.2019v12n24p459")</f>
        <v>http://dx.doi.org/10.5433/1984-3356.2019v12n24p459</v>
      </c>
    </row>
    <row r="479" spans="1:16" ht="15.75" customHeight="1">
      <c r="A479" s="1" t="s">
        <v>0</v>
      </c>
      <c r="B479" s="1" t="s">
        <v>5644</v>
      </c>
      <c r="C479" s="1" t="s">
        <v>5645</v>
      </c>
      <c r="D479" s="1" t="s">
        <v>5202</v>
      </c>
      <c r="E479" s="1" t="s">
        <v>5646</v>
      </c>
      <c r="F479" s="1" t="s">
        <v>5647</v>
      </c>
      <c r="G479" s="1">
        <v>41</v>
      </c>
      <c r="H479" s="1">
        <v>0</v>
      </c>
      <c r="I479" s="1">
        <v>2019</v>
      </c>
      <c r="J479" s="1">
        <v>18</v>
      </c>
      <c r="K479" s="1">
        <v>69</v>
      </c>
      <c r="L479" s="1">
        <v>33</v>
      </c>
      <c r="M479" s="1">
        <v>51</v>
      </c>
      <c r="N479" s="1" t="s">
        <v>6</v>
      </c>
      <c r="O479" s="1" t="s">
        <v>6</v>
      </c>
      <c r="P479" s="1" t="s">
        <v>6</v>
      </c>
    </row>
    <row r="480" spans="1:16" ht="15.75" customHeight="1">
      <c r="A480" s="1" t="s">
        <v>0</v>
      </c>
      <c r="B480" s="1" t="s">
        <v>1813</v>
      </c>
      <c r="C480" s="1" t="s">
        <v>1814</v>
      </c>
      <c r="D480" s="1" t="s">
        <v>1815</v>
      </c>
      <c r="E480" s="1" t="s">
        <v>1816</v>
      </c>
      <c r="F480" s="1" t="s">
        <v>1817</v>
      </c>
      <c r="G480" s="1">
        <v>29</v>
      </c>
      <c r="H480" s="1">
        <v>0</v>
      </c>
      <c r="I480" s="1">
        <v>2019</v>
      </c>
      <c r="J480" s="1">
        <v>46</v>
      </c>
      <c r="K480" s="1" t="s">
        <v>6</v>
      </c>
      <c r="L480" s="1">
        <v>47</v>
      </c>
      <c r="M480" s="1">
        <v>64</v>
      </c>
      <c r="N480" s="1" t="s">
        <v>6</v>
      </c>
      <c r="O480" s="1" t="s">
        <v>6</v>
      </c>
      <c r="P480" s="1" t="s">
        <v>6</v>
      </c>
    </row>
    <row r="481" spans="1:16" ht="15.75" customHeight="1">
      <c r="A481" s="1" t="s">
        <v>0</v>
      </c>
      <c r="B481" s="1" t="s">
        <v>5409</v>
      </c>
      <c r="C481" s="1" t="s">
        <v>5410</v>
      </c>
      <c r="D481" s="1" t="s">
        <v>5411</v>
      </c>
      <c r="E481" s="1" t="s">
        <v>5412</v>
      </c>
      <c r="F481" s="1" t="s">
        <v>5413</v>
      </c>
      <c r="G481" s="1">
        <v>15</v>
      </c>
      <c r="H481" s="1">
        <v>0</v>
      </c>
      <c r="I481" s="1">
        <v>2019</v>
      </c>
      <c r="J481" s="1">
        <v>12</v>
      </c>
      <c r="K481" s="1">
        <v>1</v>
      </c>
      <c r="L481" s="1">
        <v>33</v>
      </c>
      <c r="M481" s="1">
        <v>55</v>
      </c>
      <c r="N481" s="1" t="s">
        <v>6</v>
      </c>
      <c r="O481" s="1" t="s">
        <v>5414</v>
      </c>
      <c r="P481" s="3" t="str">
        <f>HYPERLINK("http://dx.doi.org/10.22201/iij.24485306e.2019.2.13637","http://dx.doi.org/10.22201/iij.24485306e.2019.2.13637")</f>
        <v>http://dx.doi.org/10.22201/iij.24485306e.2019.2.13637</v>
      </c>
    </row>
    <row r="482" spans="1:16" ht="15.75" customHeight="1">
      <c r="A482" s="1" t="s">
        <v>0</v>
      </c>
      <c r="B482" s="1" t="s">
        <v>3158</v>
      </c>
      <c r="C482" s="1" t="s">
        <v>3159</v>
      </c>
      <c r="D482" s="1" t="s">
        <v>3160</v>
      </c>
      <c r="E482" s="1" t="s">
        <v>3161</v>
      </c>
      <c r="F482" s="1" t="s">
        <v>3162</v>
      </c>
      <c r="G482" s="1">
        <v>49</v>
      </c>
      <c r="H482" s="1">
        <v>0</v>
      </c>
      <c r="I482" s="1">
        <v>2019</v>
      </c>
      <c r="J482" s="1" t="s">
        <v>6</v>
      </c>
      <c r="K482" s="1">
        <v>25</v>
      </c>
      <c r="L482" s="1">
        <v>15</v>
      </c>
      <c r="M482" s="1">
        <v>31</v>
      </c>
      <c r="N482" s="1" t="s">
        <v>6</v>
      </c>
      <c r="O482" s="1" t="s">
        <v>3163</v>
      </c>
      <c r="P482" s="3" t="str">
        <f>HYPERLINK("http://dx.doi.org/10.20932/barataria.v0i25.472","http://dx.doi.org/10.20932/barataria.v0i25.472")</f>
        <v>http://dx.doi.org/10.20932/barataria.v0i25.472</v>
      </c>
    </row>
    <row r="483" spans="1:16" ht="15.75" customHeight="1">
      <c r="A483" s="1" t="s">
        <v>0</v>
      </c>
      <c r="B483" s="1" t="s">
        <v>3716</v>
      </c>
      <c r="C483" s="1" t="s">
        <v>3717</v>
      </c>
      <c r="D483" s="1" t="s">
        <v>1645</v>
      </c>
      <c r="E483" s="1" t="s">
        <v>3718</v>
      </c>
      <c r="F483" s="1" t="s">
        <v>3719</v>
      </c>
      <c r="G483" s="1">
        <v>0</v>
      </c>
      <c r="H483" s="1">
        <v>0</v>
      </c>
      <c r="I483" s="1">
        <v>2019</v>
      </c>
      <c r="J483" s="1">
        <v>104</v>
      </c>
      <c r="K483" s="1">
        <v>2</v>
      </c>
      <c r="L483" s="1">
        <v>149</v>
      </c>
      <c r="M483" s="1">
        <v>155</v>
      </c>
      <c r="N483" s="1" t="s">
        <v>6</v>
      </c>
      <c r="O483" s="1" t="s">
        <v>3720</v>
      </c>
      <c r="P483" s="3" t="str">
        <f>HYPERLINK("http://dx.doi.org/10.5565/rev/papers.2692","http://dx.doi.org/10.5565/rev/papers.2692")</f>
        <v>http://dx.doi.org/10.5565/rev/papers.2692</v>
      </c>
    </row>
    <row r="484" spans="1:16" ht="15.75" customHeight="1">
      <c r="A484" s="1" t="s">
        <v>0</v>
      </c>
      <c r="B484" s="1" t="s">
        <v>3457</v>
      </c>
      <c r="C484" s="1" t="s">
        <v>3458</v>
      </c>
      <c r="D484" s="1" t="s">
        <v>2664</v>
      </c>
      <c r="E484" s="1" t="s">
        <v>3459</v>
      </c>
      <c r="F484" s="1" t="s">
        <v>3460</v>
      </c>
      <c r="G484" s="1">
        <v>50</v>
      </c>
      <c r="H484" s="1">
        <v>0</v>
      </c>
      <c r="I484" s="1">
        <v>2019</v>
      </c>
      <c r="J484" s="1">
        <v>6</v>
      </c>
      <c r="K484" s="1">
        <v>1</v>
      </c>
      <c r="L484" s="1">
        <v>232</v>
      </c>
      <c r="M484" s="1">
        <v>255</v>
      </c>
      <c r="N484" s="1" t="s">
        <v>6</v>
      </c>
      <c r="O484" s="1" t="s">
        <v>6</v>
      </c>
      <c r="P484" s="1" t="s">
        <v>6</v>
      </c>
    </row>
    <row r="485" spans="1:16" ht="15.75" customHeight="1">
      <c r="A485" s="1" t="s">
        <v>0</v>
      </c>
      <c r="B485" s="1" t="s">
        <v>6061</v>
      </c>
      <c r="C485" s="1" t="s">
        <v>6062</v>
      </c>
      <c r="D485" s="1" t="s">
        <v>6063</v>
      </c>
      <c r="E485" s="1" t="s">
        <v>6064</v>
      </c>
      <c r="F485" s="1" t="s">
        <v>6065</v>
      </c>
      <c r="G485" s="1">
        <v>64</v>
      </c>
      <c r="H485" s="1">
        <v>0</v>
      </c>
      <c r="I485" s="1">
        <v>2019</v>
      </c>
      <c r="J485" s="1">
        <v>21</v>
      </c>
      <c r="K485" s="1">
        <v>3</v>
      </c>
      <c r="L485" s="1" t="s">
        <v>6</v>
      </c>
      <c r="M485" s="1" t="s">
        <v>6</v>
      </c>
      <c r="N485" s="1" t="s">
        <v>6066</v>
      </c>
      <c r="O485" s="1" t="s">
        <v>6067</v>
      </c>
      <c r="P485" s="3" t="str">
        <f>HYPERLINK("http://dx.doi.org/10.5565/rev/qpsicologia.1537","http://dx.doi.org/10.5565/rev/qpsicologia.1537")</f>
        <v>http://dx.doi.org/10.5565/rev/qpsicologia.1537</v>
      </c>
    </row>
    <row r="486" spans="1:16" ht="15.75" customHeight="1">
      <c r="A486" s="1" t="s">
        <v>10</v>
      </c>
      <c r="B486" s="1" t="s">
        <v>2086</v>
      </c>
      <c r="C486" s="1" t="s">
        <v>2087</v>
      </c>
      <c r="D486" s="1" t="s">
        <v>2088</v>
      </c>
      <c r="F486" s="1" t="s">
        <v>1767</v>
      </c>
      <c r="H486" s="1">
        <v>0</v>
      </c>
      <c r="I486" s="1">
        <v>2019</v>
      </c>
      <c r="J486" s="1">
        <v>21</v>
      </c>
      <c r="K486" s="1">
        <v>4</v>
      </c>
      <c r="O486" s="1" t="s">
        <v>2089</v>
      </c>
    </row>
    <row r="487" spans="1:16" ht="15.75" customHeight="1">
      <c r="A487" s="1" t="s">
        <v>10</v>
      </c>
      <c r="B487" s="1" t="s">
        <v>2224</v>
      </c>
      <c r="C487" s="1" t="s">
        <v>2225</v>
      </c>
      <c r="D487" s="1" t="s">
        <v>1285</v>
      </c>
      <c r="E487" s="1" t="s">
        <v>2226</v>
      </c>
      <c r="F487" s="1" t="s">
        <v>2227</v>
      </c>
      <c r="H487" s="1">
        <v>45</v>
      </c>
      <c r="I487" s="1">
        <v>2020</v>
      </c>
      <c r="J487" s="1">
        <v>24</v>
      </c>
      <c r="K487" s="1">
        <v>6</v>
      </c>
      <c r="O487" s="1" t="s">
        <v>2228</v>
      </c>
    </row>
    <row r="488" spans="1:16" ht="15.75" customHeight="1">
      <c r="A488" s="1" t="s">
        <v>10</v>
      </c>
      <c r="B488" s="1" t="s">
        <v>1890</v>
      </c>
      <c r="C488" s="1" t="s">
        <v>1891</v>
      </c>
      <c r="D488" s="1" t="s">
        <v>1892</v>
      </c>
      <c r="E488" s="1" t="s">
        <v>1893</v>
      </c>
      <c r="F488" s="1" t="s">
        <v>1894</v>
      </c>
      <c r="H488" s="1">
        <v>29</v>
      </c>
      <c r="I488" s="1">
        <v>2020</v>
      </c>
      <c r="J488" s="1">
        <v>21</v>
      </c>
      <c r="O488" s="1" t="s">
        <v>1895</v>
      </c>
    </row>
    <row r="489" spans="1:16" ht="15.75" customHeight="1">
      <c r="A489" s="1" t="s">
        <v>10</v>
      </c>
      <c r="B489" s="1" t="s">
        <v>6385</v>
      </c>
      <c r="C489" s="1" t="s">
        <v>6386</v>
      </c>
      <c r="D489" s="1" t="s">
        <v>6387</v>
      </c>
      <c r="E489" s="1" t="s">
        <v>6388</v>
      </c>
      <c r="F489" s="1" t="s">
        <v>6389</v>
      </c>
      <c r="H489" s="1">
        <v>29</v>
      </c>
      <c r="I489" s="1">
        <v>2020</v>
      </c>
      <c r="J489" s="1">
        <v>52</v>
      </c>
      <c r="K489" s="1">
        <v>1</v>
      </c>
      <c r="O489" s="1" t="s">
        <v>6390</v>
      </c>
    </row>
    <row r="490" spans="1:16" ht="15.75" customHeight="1">
      <c r="A490" s="1" t="s">
        <v>10</v>
      </c>
      <c r="B490" s="1" t="s">
        <v>4574</v>
      </c>
      <c r="C490" s="1" t="s">
        <v>4575</v>
      </c>
      <c r="D490" s="1" t="s">
        <v>706</v>
      </c>
      <c r="E490" s="1" t="s">
        <v>4576</v>
      </c>
      <c r="F490" s="1" t="s">
        <v>4577</v>
      </c>
      <c r="H490" s="1">
        <v>27</v>
      </c>
      <c r="I490" s="1">
        <v>2020</v>
      </c>
      <c r="J490" s="1">
        <v>57</v>
      </c>
      <c r="K490" s="1">
        <v>15</v>
      </c>
      <c r="O490" s="1" t="s">
        <v>4578</v>
      </c>
    </row>
    <row r="491" spans="1:16" ht="15.75" customHeight="1">
      <c r="A491" s="1" t="s">
        <v>0</v>
      </c>
      <c r="B491" s="1" t="s">
        <v>2246</v>
      </c>
      <c r="C491" s="1" t="s">
        <v>2247</v>
      </c>
      <c r="D491" s="1" t="s">
        <v>2248</v>
      </c>
      <c r="E491" s="1" t="s">
        <v>2249</v>
      </c>
      <c r="F491" s="1" t="s">
        <v>2250</v>
      </c>
      <c r="G491" s="1">
        <v>56</v>
      </c>
      <c r="H491" s="1">
        <v>27</v>
      </c>
      <c r="I491" s="1">
        <v>2020</v>
      </c>
      <c r="J491" s="1">
        <v>11</v>
      </c>
      <c r="K491" s="1">
        <v>1</v>
      </c>
      <c r="L491" s="1">
        <v>42</v>
      </c>
      <c r="M491" s="1">
        <v>61</v>
      </c>
      <c r="N491" s="1" t="s">
        <v>6</v>
      </c>
      <c r="O491" s="1" t="s">
        <v>6</v>
      </c>
      <c r="P491" s="1" t="s">
        <v>6</v>
      </c>
    </row>
    <row r="492" spans="1:16" ht="15.75" customHeight="1">
      <c r="A492" s="1" t="s">
        <v>10</v>
      </c>
      <c r="B492" s="1" t="s">
        <v>2795</v>
      </c>
      <c r="C492" s="1" t="s">
        <v>2796</v>
      </c>
      <c r="D492" s="1" t="s">
        <v>2797</v>
      </c>
      <c r="E492" s="1" t="s">
        <v>2798</v>
      </c>
      <c r="F492" s="1" t="s">
        <v>2799</v>
      </c>
      <c r="H492" s="1">
        <v>26</v>
      </c>
      <c r="I492" s="1">
        <v>2020</v>
      </c>
      <c r="J492" s="1">
        <v>26</v>
      </c>
      <c r="K492" s="1">
        <v>8</v>
      </c>
      <c r="O492" s="1" t="s">
        <v>2800</v>
      </c>
    </row>
    <row r="493" spans="1:16" ht="15.75" customHeight="1">
      <c r="A493" s="1" t="s">
        <v>10</v>
      </c>
      <c r="B493" s="1" t="s">
        <v>926</v>
      </c>
      <c r="C493" s="1" t="s">
        <v>927</v>
      </c>
      <c r="D493" s="1" t="s">
        <v>928</v>
      </c>
      <c r="E493" s="1" t="s">
        <v>929</v>
      </c>
      <c r="F493" s="1" t="s">
        <v>930</v>
      </c>
      <c r="H493" s="1">
        <v>24</v>
      </c>
      <c r="I493" s="1">
        <v>2020</v>
      </c>
      <c r="J493" s="1">
        <v>59</v>
      </c>
      <c r="K493" s="1">
        <v>3</v>
      </c>
      <c r="O493" s="1" t="s">
        <v>931</v>
      </c>
    </row>
    <row r="494" spans="1:16" ht="15.75" customHeight="1">
      <c r="A494" s="1" t="s">
        <v>10</v>
      </c>
      <c r="B494" s="1" t="s">
        <v>6031</v>
      </c>
      <c r="C494" s="1" t="s">
        <v>6032</v>
      </c>
      <c r="D494" s="1" t="s">
        <v>6033</v>
      </c>
      <c r="E494" s="1" t="s">
        <v>6034</v>
      </c>
      <c r="F494" s="1" t="s">
        <v>6035</v>
      </c>
      <c r="H494" s="1">
        <v>24</v>
      </c>
      <c r="I494" s="1">
        <v>2020</v>
      </c>
      <c r="J494" s="1">
        <v>34</v>
      </c>
      <c r="K494" s="1">
        <v>1</v>
      </c>
      <c r="O494" s="1" t="s">
        <v>6036</v>
      </c>
    </row>
    <row r="495" spans="1:16" ht="15.75" customHeight="1">
      <c r="A495" s="1" t="s">
        <v>0</v>
      </c>
      <c r="B495" s="1" t="s">
        <v>6374</v>
      </c>
      <c r="C495" s="1" t="s">
        <v>6375</v>
      </c>
      <c r="D495" s="2" t="s">
        <v>6376</v>
      </c>
      <c r="E495" s="1" t="s">
        <v>6377</v>
      </c>
      <c r="F495" s="1" t="s">
        <v>6378</v>
      </c>
      <c r="G495" s="1">
        <v>65</v>
      </c>
      <c r="H495" s="1">
        <v>21</v>
      </c>
      <c r="I495" s="1">
        <v>2020</v>
      </c>
      <c r="J495" s="1">
        <v>22</v>
      </c>
      <c r="K495" s="1" t="s">
        <v>1854</v>
      </c>
      <c r="O495" s="1" t="s">
        <v>6379</v>
      </c>
    </row>
    <row r="496" spans="1:16" ht="15.75" customHeight="1">
      <c r="A496" s="1" t="s">
        <v>10</v>
      </c>
      <c r="B496" s="1" t="s">
        <v>1294</v>
      </c>
      <c r="C496" s="1" t="s">
        <v>1295</v>
      </c>
      <c r="D496" s="1" t="s">
        <v>1296</v>
      </c>
      <c r="E496" s="1" t="s">
        <v>1297</v>
      </c>
      <c r="F496" s="1" t="s">
        <v>1298</v>
      </c>
      <c r="H496" s="1">
        <v>19</v>
      </c>
      <c r="I496" s="1">
        <v>2020</v>
      </c>
      <c r="O496" s="1" t="s">
        <v>1299</v>
      </c>
    </row>
    <row r="497" spans="1:16" ht="15.75" customHeight="1">
      <c r="A497" s="1" t="s">
        <v>10</v>
      </c>
      <c r="B497" s="1" t="s">
        <v>3540</v>
      </c>
      <c r="C497" s="1" t="s">
        <v>3541</v>
      </c>
      <c r="D497" s="1" t="s">
        <v>88</v>
      </c>
      <c r="E497" s="1" t="s">
        <v>3542</v>
      </c>
      <c r="F497" s="1" t="s">
        <v>3543</v>
      </c>
      <c r="H497" s="1">
        <v>19</v>
      </c>
      <c r="I497" s="1">
        <v>2020</v>
      </c>
      <c r="J497" s="1">
        <v>126</v>
      </c>
      <c r="O497" s="1" t="s">
        <v>3544</v>
      </c>
    </row>
    <row r="498" spans="1:16" ht="15.75" customHeight="1">
      <c r="A498" s="1" t="s">
        <v>0</v>
      </c>
      <c r="B498" s="1" t="s">
        <v>1717</v>
      </c>
      <c r="C498" s="1" t="s">
        <v>1718</v>
      </c>
      <c r="D498" s="1" t="s">
        <v>1719</v>
      </c>
      <c r="E498" s="1" t="s">
        <v>1720</v>
      </c>
      <c r="F498" s="1" t="s">
        <v>1721</v>
      </c>
      <c r="G498" s="1">
        <v>110</v>
      </c>
      <c r="H498" s="1">
        <v>19</v>
      </c>
      <c r="I498" s="1">
        <v>2020</v>
      </c>
      <c r="K498" s="1" t="s">
        <v>1722</v>
      </c>
      <c r="O498" s="1" t="s">
        <v>1723</v>
      </c>
    </row>
    <row r="499" spans="1:16" ht="15.75" customHeight="1">
      <c r="A499" s="1" t="s">
        <v>0</v>
      </c>
      <c r="B499" s="1" t="s">
        <v>6852</v>
      </c>
      <c r="C499" s="1" t="s">
        <v>6853</v>
      </c>
      <c r="D499" s="1" t="s">
        <v>264</v>
      </c>
      <c r="E499" s="1" t="s">
        <v>6854</v>
      </c>
      <c r="F499" s="1" t="s">
        <v>6855</v>
      </c>
      <c r="G499" s="1">
        <v>41</v>
      </c>
      <c r="H499" s="1">
        <v>19</v>
      </c>
      <c r="I499" s="1">
        <v>2020</v>
      </c>
      <c r="J499" s="1">
        <v>46</v>
      </c>
      <c r="K499" s="1">
        <v>10</v>
      </c>
      <c r="L499" s="1">
        <v>2008</v>
      </c>
      <c r="M499" s="1">
        <v>2026</v>
      </c>
      <c r="N499" s="1" t="s">
        <v>6</v>
      </c>
      <c r="O499" s="1" t="s">
        <v>6856</v>
      </c>
      <c r="P499" s="3" t="str">
        <f>HYPERLINK("http://dx.doi.org/10.1080/1369183X.2018.1559996","http://dx.doi.org/10.1080/1369183X.2018.1559996")</f>
        <v>http://dx.doi.org/10.1080/1369183X.2018.1559996</v>
      </c>
    </row>
    <row r="500" spans="1:16" ht="15.75" customHeight="1">
      <c r="A500" s="1" t="s">
        <v>10</v>
      </c>
      <c r="B500" s="1" t="s">
        <v>4106</v>
      </c>
      <c r="C500" s="1" t="s">
        <v>4107</v>
      </c>
      <c r="D500" s="1" t="s">
        <v>4108</v>
      </c>
      <c r="E500" s="1" t="s">
        <v>4109</v>
      </c>
      <c r="F500" s="1" t="s">
        <v>4110</v>
      </c>
      <c r="H500" s="1">
        <v>18</v>
      </c>
      <c r="I500" s="1">
        <v>2020</v>
      </c>
      <c r="J500" s="1">
        <v>81</v>
      </c>
      <c r="O500" s="1" t="s">
        <v>4111</v>
      </c>
    </row>
    <row r="501" spans="1:16" ht="15.75" customHeight="1">
      <c r="A501" s="1" t="s">
        <v>0</v>
      </c>
      <c r="B501" s="1" t="s">
        <v>5378</v>
      </c>
      <c r="C501" s="1" t="s">
        <v>5379</v>
      </c>
      <c r="D501" s="1" t="s">
        <v>264</v>
      </c>
      <c r="E501" s="1" t="s">
        <v>5380</v>
      </c>
      <c r="F501" s="1" t="s">
        <v>5381</v>
      </c>
      <c r="G501" s="1">
        <v>41</v>
      </c>
      <c r="H501" s="1">
        <v>18</v>
      </c>
      <c r="I501" s="1">
        <v>2020</v>
      </c>
      <c r="J501" s="1">
        <v>46</v>
      </c>
      <c r="K501" s="1">
        <v>13</v>
      </c>
      <c r="L501" s="1">
        <v>2764</v>
      </c>
      <c r="M501" s="1">
        <v>2781</v>
      </c>
      <c r="N501" s="1" t="s">
        <v>6</v>
      </c>
      <c r="O501" s="1" t="s">
        <v>5382</v>
      </c>
      <c r="P501" s="3" t="str">
        <f>HYPERLINK("http://dx.doi.org/10.1080/1369183X.2018.1497953","http://dx.doi.org/10.1080/1369183X.2018.1497953")</f>
        <v>http://dx.doi.org/10.1080/1369183X.2018.1497953</v>
      </c>
    </row>
    <row r="502" spans="1:16" ht="15.75" customHeight="1">
      <c r="A502" s="1" t="s">
        <v>0</v>
      </c>
      <c r="B502" s="1" t="s">
        <v>2398</v>
      </c>
      <c r="C502" s="1" t="s">
        <v>2399</v>
      </c>
      <c r="D502" s="1" t="s">
        <v>2400</v>
      </c>
      <c r="E502" s="1" t="s">
        <v>2401</v>
      </c>
      <c r="F502" s="1" t="s">
        <v>2402</v>
      </c>
      <c r="G502" s="1">
        <v>51</v>
      </c>
      <c r="H502" s="1">
        <v>17</v>
      </c>
      <c r="I502" s="1">
        <v>2020</v>
      </c>
      <c r="J502" s="1">
        <v>59</v>
      </c>
      <c r="K502" s="1">
        <v>3</v>
      </c>
      <c r="L502" s="1">
        <v>102</v>
      </c>
      <c r="M502" s="1">
        <v>120</v>
      </c>
      <c r="N502" s="1" t="s">
        <v>6</v>
      </c>
      <c r="O502" s="1" t="s">
        <v>2403</v>
      </c>
      <c r="P502" s="3" t="str">
        <f>HYPERLINK("http://dx.doi.org/10.30827/cuadgeo.v59i3.9294","http://dx.doi.org/10.30827/cuadgeo.v59i3.9294")</f>
        <v>http://dx.doi.org/10.30827/cuadgeo.v59i3.9294</v>
      </c>
    </row>
    <row r="503" spans="1:16" ht="15.75" customHeight="1">
      <c r="A503" s="1" t="s">
        <v>10</v>
      </c>
      <c r="B503" s="1" t="s">
        <v>3860</v>
      </c>
      <c r="C503" s="1" t="s">
        <v>3861</v>
      </c>
      <c r="D503" s="1" t="s">
        <v>473</v>
      </c>
      <c r="E503" s="1" t="s">
        <v>3862</v>
      </c>
      <c r="F503" s="1" t="s">
        <v>3863</v>
      </c>
      <c r="H503" s="1">
        <v>16</v>
      </c>
      <c r="I503" s="1">
        <v>2020</v>
      </c>
      <c r="J503" s="1">
        <v>46</v>
      </c>
      <c r="K503" s="1">
        <v>138</v>
      </c>
      <c r="O503" s="1" t="s">
        <v>3864</v>
      </c>
    </row>
    <row r="504" spans="1:16" ht="15.75" customHeight="1">
      <c r="A504" s="1" t="s">
        <v>0</v>
      </c>
      <c r="B504" s="1" t="s">
        <v>3074</v>
      </c>
      <c r="C504" s="1" t="s">
        <v>3075</v>
      </c>
      <c r="D504" s="1" t="s">
        <v>3076</v>
      </c>
      <c r="E504" s="1" t="s">
        <v>3077</v>
      </c>
      <c r="F504" s="1" t="s">
        <v>3078</v>
      </c>
      <c r="G504" s="1">
        <v>55</v>
      </c>
      <c r="H504" s="1">
        <v>16</v>
      </c>
      <c r="I504" s="1">
        <v>2020</v>
      </c>
      <c r="J504" s="1">
        <v>22</v>
      </c>
      <c r="K504" s="1">
        <v>10</v>
      </c>
      <c r="L504" s="1">
        <v>1145</v>
      </c>
      <c r="M504" s="1">
        <v>1160</v>
      </c>
      <c r="N504" s="1" t="s">
        <v>6</v>
      </c>
      <c r="O504" s="1" t="s">
        <v>3079</v>
      </c>
      <c r="P504" s="3" t="str">
        <f>HYPERLINK("http://dx.doi.org/10.1080/13691058.2019.1662088","http://dx.doi.org/10.1080/13691058.2019.1662088")</f>
        <v>http://dx.doi.org/10.1080/13691058.2019.1662088</v>
      </c>
    </row>
    <row r="505" spans="1:16" ht="15.75" customHeight="1">
      <c r="A505" s="1" t="s">
        <v>0</v>
      </c>
      <c r="B505" s="1" t="s">
        <v>4367</v>
      </c>
      <c r="C505" s="1" t="s">
        <v>4368</v>
      </c>
      <c r="D505" s="2" t="s">
        <v>4369</v>
      </c>
      <c r="E505" s="1" t="s">
        <v>4370</v>
      </c>
      <c r="F505" s="1" t="s">
        <v>4371</v>
      </c>
      <c r="G505" s="1">
        <v>27</v>
      </c>
      <c r="H505" s="1">
        <v>15</v>
      </c>
      <c r="I505" s="1">
        <v>2020</v>
      </c>
      <c r="K505" s="1" t="s">
        <v>2558</v>
      </c>
    </row>
    <row r="506" spans="1:16" ht="15.75" customHeight="1">
      <c r="A506" s="1" t="s">
        <v>10</v>
      </c>
      <c r="B506" s="1" t="s">
        <v>3236</v>
      </c>
      <c r="C506" s="1" t="s">
        <v>3237</v>
      </c>
      <c r="D506" s="1" t="s">
        <v>3238</v>
      </c>
      <c r="E506" s="1" t="s">
        <v>3239</v>
      </c>
      <c r="F506" s="1" t="s">
        <v>3240</v>
      </c>
      <c r="H506" s="1">
        <v>14</v>
      </c>
      <c r="I506" s="1">
        <v>2020</v>
      </c>
      <c r="J506" s="1">
        <v>85</v>
      </c>
      <c r="K506" s="1">
        <v>2</v>
      </c>
      <c r="O506" s="1" t="s">
        <v>3241</v>
      </c>
    </row>
    <row r="507" spans="1:16" ht="15.75" customHeight="1">
      <c r="A507" s="1" t="s">
        <v>0</v>
      </c>
      <c r="B507" s="1" t="s">
        <v>4703</v>
      </c>
      <c r="C507" s="1" t="s">
        <v>4704</v>
      </c>
      <c r="D507" s="1" t="s">
        <v>2258</v>
      </c>
      <c r="E507" s="1" t="s">
        <v>4705</v>
      </c>
      <c r="F507" s="1" t="s">
        <v>4706</v>
      </c>
      <c r="G507" s="1">
        <v>30</v>
      </c>
      <c r="H507" s="1">
        <v>14</v>
      </c>
      <c r="I507" s="1">
        <v>2020</v>
      </c>
      <c r="K507" s="1" t="s">
        <v>4707</v>
      </c>
      <c r="O507" s="1" t="s">
        <v>4708</v>
      </c>
    </row>
    <row r="508" spans="1:16" ht="15.75" customHeight="1">
      <c r="A508" s="1" t="s">
        <v>0</v>
      </c>
      <c r="B508" s="1" t="s">
        <v>4253</v>
      </c>
      <c r="C508" s="1" t="s">
        <v>4254</v>
      </c>
      <c r="D508" s="1" t="s">
        <v>4255</v>
      </c>
      <c r="E508" s="1" t="s">
        <v>4256</v>
      </c>
      <c r="F508" s="1" t="s">
        <v>4257</v>
      </c>
      <c r="G508" s="1">
        <v>51</v>
      </c>
      <c r="H508" s="1">
        <v>13</v>
      </c>
      <c r="I508" s="1">
        <v>2020</v>
      </c>
      <c r="J508" s="1">
        <v>23</v>
      </c>
      <c r="K508" s="1" t="s">
        <v>378</v>
      </c>
      <c r="O508" s="1" t="s">
        <v>4258</v>
      </c>
    </row>
    <row r="509" spans="1:16" ht="15.75" customHeight="1">
      <c r="A509" s="1" t="s">
        <v>10</v>
      </c>
      <c r="B509" s="1" t="s">
        <v>7048</v>
      </c>
      <c r="C509" s="1" t="s">
        <v>7049</v>
      </c>
      <c r="D509" s="1" t="s">
        <v>94</v>
      </c>
      <c r="E509" s="1" t="s">
        <v>7050</v>
      </c>
      <c r="F509" s="1" t="s">
        <v>7051</v>
      </c>
      <c r="H509" s="1">
        <v>13</v>
      </c>
      <c r="I509" s="1">
        <v>2020</v>
      </c>
      <c r="J509" s="1">
        <v>18</v>
      </c>
      <c r="K509" s="1">
        <v>2</v>
      </c>
      <c r="O509" s="1" t="s">
        <v>7052</v>
      </c>
    </row>
    <row r="510" spans="1:16" ht="15.75" customHeight="1">
      <c r="A510" s="1" t="s">
        <v>10</v>
      </c>
      <c r="B510" s="1" t="s">
        <v>6927</v>
      </c>
      <c r="C510" s="1" t="s">
        <v>6928</v>
      </c>
      <c r="D510" s="2" t="s">
        <v>6929</v>
      </c>
      <c r="E510" s="1" t="s">
        <v>6930</v>
      </c>
      <c r="F510" s="1" t="s">
        <v>6931</v>
      </c>
      <c r="H510" s="1">
        <v>12</v>
      </c>
      <c r="I510" s="1">
        <v>2020</v>
      </c>
      <c r="J510" s="1">
        <v>27</v>
      </c>
      <c r="K510" s="1">
        <v>1</v>
      </c>
      <c r="O510" s="1" t="s">
        <v>6932</v>
      </c>
    </row>
    <row r="511" spans="1:16" ht="15.75" customHeight="1">
      <c r="A511" s="1" t="s">
        <v>10</v>
      </c>
      <c r="B511" s="1" t="s">
        <v>4275</v>
      </c>
      <c r="C511" s="1" t="s">
        <v>4276</v>
      </c>
      <c r="D511" s="1" t="s">
        <v>4277</v>
      </c>
      <c r="E511" s="1" t="s">
        <v>4278</v>
      </c>
      <c r="F511" s="1" t="s">
        <v>4279</v>
      </c>
      <c r="H511" s="1">
        <v>12</v>
      </c>
      <c r="I511" s="1">
        <v>2020</v>
      </c>
      <c r="J511" s="1">
        <v>15</v>
      </c>
      <c r="K511" s="1">
        <v>1</v>
      </c>
      <c r="O511" s="1" t="s">
        <v>4280</v>
      </c>
    </row>
    <row r="512" spans="1:16" ht="15.75" customHeight="1">
      <c r="A512" s="1" t="s">
        <v>0</v>
      </c>
      <c r="B512" s="1" t="s">
        <v>5485</v>
      </c>
      <c r="C512" s="1" t="s">
        <v>5486</v>
      </c>
      <c r="D512" s="1" t="s">
        <v>201</v>
      </c>
      <c r="E512" s="1" t="s">
        <v>5487</v>
      </c>
      <c r="F512" s="1" t="s">
        <v>5488</v>
      </c>
      <c r="G512" s="1">
        <v>86</v>
      </c>
      <c r="H512" s="1">
        <v>12</v>
      </c>
      <c r="I512" s="1">
        <v>2020</v>
      </c>
      <c r="J512" s="1" t="s">
        <v>6</v>
      </c>
      <c r="K512" s="1">
        <v>64</v>
      </c>
      <c r="L512" s="1">
        <v>337</v>
      </c>
      <c r="M512" s="1">
        <v>359</v>
      </c>
      <c r="N512" s="1" t="s">
        <v>6</v>
      </c>
      <c r="O512" s="1" t="s">
        <v>5489</v>
      </c>
      <c r="P512" s="3" t="str">
        <f>HYPERLINK("http://dx.doi.org/10.22199/issn.0718-1043-2020-0016","http://dx.doi.org/10.22199/issn.0718-1043-2020-0016")</f>
        <v>http://dx.doi.org/10.22199/issn.0718-1043-2020-0016</v>
      </c>
    </row>
    <row r="513" spans="1:16" ht="15.75" customHeight="1">
      <c r="A513" s="1" t="s">
        <v>10</v>
      </c>
      <c r="B513" s="1" t="s">
        <v>2949</v>
      </c>
      <c r="C513" s="1" t="s">
        <v>2950</v>
      </c>
      <c r="D513" s="1" t="s">
        <v>2797</v>
      </c>
      <c r="E513" s="1" t="s">
        <v>2951</v>
      </c>
      <c r="F513" s="1" t="s">
        <v>2952</v>
      </c>
      <c r="H513" s="1">
        <v>12</v>
      </c>
      <c r="I513" s="1">
        <v>2020</v>
      </c>
      <c r="J513" s="1">
        <v>26</v>
      </c>
      <c r="K513" s="1">
        <v>8</v>
      </c>
      <c r="O513" s="1" t="s">
        <v>2953</v>
      </c>
    </row>
    <row r="514" spans="1:16" ht="15.75" customHeight="1">
      <c r="A514" s="1" t="s">
        <v>0</v>
      </c>
      <c r="B514" s="1" t="s">
        <v>1606</v>
      </c>
      <c r="C514" s="1" t="s">
        <v>1607</v>
      </c>
      <c r="D514" s="1" t="s">
        <v>382</v>
      </c>
      <c r="E514" s="1" t="s">
        <v>1608</v>
      </c>
      <c r="F514" s="1" t="s">
        <v>1609</v>
      </c>
      <c r="G514" s="1">
        <v>78</v>
      </c>
      <c r="H514" s="1">
        <v>12</v>
      </c>
      <c r="I514" s="1">
        <v>2020</v>
      </c>
      <c r="J514" s="1">
        <v>14</v>
      </c>
      <c r="K514" s="1" t="s">
        <v>378</v>
      </c>
    </row>
    <row r="515" spans="1:16" ht="15.75" customHeight="1">
      <c r="A515" s="1" t="s">
        <v>10</v>
      </c>
      <c r="B515" s="1" t="s">
        <v>6938</v>
      </c>
      <c r="C515" s="1" t="s">
        <v>6939</v>
      </c>
      <c r="D515" s="1" t="s">
        <v>6940</v>
      </c>
      <c r="E515" s="1" t="s">
        <v>6941</v>
      </c>
      <c r="F515" s="1" t="s">
        <v>6942</v>
      </c>
      <c r="H515" s="1">
        <v>11</v>
      </c>
      <c r="I515" s="1">
        <v>2020</v>
      </c>
      <c r="J515" s="1">
        <v>61</v>
      </c>
      <c r="O515" s="1" t="s">
        <v>6943</v>
      </c>
    </row>
    <row r="516" spans="1:16" ht="15.75" customHeight="1">
      <c r="A516" s="1" t="s">
        <v>10</v>
      </c>
      <c r="B516" s="1" t="s">
        <v>6074</v>
      </c>
      <c r="C516" s="1" t="s">
        <v>6075</v>
      </c>
      <c r="D516" s="1" t="s">
        <v>4810</v>
      </c>
      <c r="E516" s="1" t="s">
        <v>6076</v>
      </c>
      <c r="F516" s="1" t="s">
        <v>6077</v>
      </c>
      <c r="H516" s="1">
        <v>11</v>
      </c>
      <c r="I516" s="1">
        <v>2020</v>
      </c>
      <c r="J516" s="1">
        <v>30</v>
      </c>
      <c r="K516" s="1">
        <v>5</v>
      </c>
      <c r="O516" s="1" t="s">
        <v>6078</v>
      </c>
    </row>
    <row r="517" spans="1:16" ht="15.75" customHeight="1">
      <c r="A517" s="1" t="s">
        <v>0</v>
      </c>
      <c r="B517" s="1" t="s">
        <v>3207</v>
      </c>
      <c r="C517" s="1" t="s">
        <v>3208</v>
      </c>
      <c r="D517" s="1" t="s">
        <v>3209</v>
      </c>
      <c r="E517" s="1" t="s">
        <v>3210</v>
      </c>
      <c r="F517" s="1" t="s">
        <v>3211</v>
      </c>
      <c r="G517" s="1">
        <v>48</v>
      </c>
      <c r="H517" s="1">
        <v>11</v>
      </c>
      <c r="I517" s="1">
        <v>2020</v>
      </c>
      <c r="J517" s="1">
        <v>8</v>
      </c>
      <c r="K517" s="1">
        <v>3</v>
      </c>
      <c r="L517" s="1" t="s">
        <v>6</v>
      </c>
      <c r="M517" s="1" t="s">
        <v>6</v>
      </c>
      <c r="N517" s="1">
        <v>299</v>
      </c>
      <c r="O517" s="1" t="s">
        <v>3212</v>
      </c>
      <c r="P517" s="3" t="str">
        <f>HYPERLINK("http://dx.doi.org/10.3390/healthcare8030299","http://dx.doi.org/10.3390/healthcare8030299")</f>
        <v>http://dx.doi.org/10.3390/healthcare8030299</v>
      </c>
    </row>
    <row r="518" spans="1:16" ht="15.75" customHeight="1">
      <c r="A518" s="1" t="s">
        <v>0</v>
      </c>
      <c r="B518" s="1" t="s">
        <v>134</v>
      </c>
      <c r="C518" s="1" t="s">
        <v>135</v>
      </c>
      <c r="D518" s="1" t="s">
        <v>136</v>
      </c>
      <c r="E518" s="1" t="s">
        <v>137</v>
      </c>
      <c r="F518" s="1" t="s">
        <v>138</v>
      </c>
      <c r="G518" s="1">
        <v>63</v>
      </c>
      <c r="H518" s="1">
        <v>11</v>
      </c>
      <c r="I518" s="1">
        <v>2020</v>
      </c>
      <c r="J518" s="1">
        <v>21</v>
      </c>
      <c r="K518" s="1">
        <v>1</v>
      </c>
      <c r="L518" s="1">
        <v>53</v>
      </c>
      <c r="M518" s="1">
        <v>74</v>
      </c>
      <c r="N518" s="1" t="s">
        <v>6</v>
      </c>
      <c r="O518" s="1" t="s">
        <v>139</v>
      </c>
      <c r="P518" s="3" t="str">
        <f>HYPERLINK("http://dx.doi.org/10.1007/s10902-019-00081-2","http://dx.doi.org/10.1007/s10902-019-00081-2")</f>
        <v>http://dx.doi.org/10.1007/s10902-019-00081-2</v>
      </c>
    </row>
    <row r="519" spans="1:16" ht="15.75" customHeight="1">
      <c r="A519" s="1" t="s">
        <v>10</v>
      </c>
      <c r="B519" s="1" t="s">
        <v>158</v>
      </c>
      <c r="C519" s="1" t="s">
        <v>159</v>
      </c>
      <c r="D519" s="1" t="s">
        <v>160</v>
      </c>
      <c r="E519" s="1" t="s">
        <v>161</v>
      </c>
      <c r="F519" s="1" t="s">
        <v>162</v>
      </c>
      <c r="H519" s="1">
        <v>10</v>
      </c>
      <c r="I519" s="1">
        <v>2020</v>
      </c>
      <c r="J519" s="1">
        <v>26</v>
      </c>
      <c r="K519" s="1">
        <v>1</v>
      </c>
      <c r="O519" s="1" t="s">
        <v>163</v>
      </c>
    </row>
    <row r="520" spans="1:16" ht="15.75" customHeight="1">
      <c r="A520" s="1" t="s">
        <v>0</v>
      </c>
      <c r="B520" s="1" t="s">
        <v>2476</v>
      </c>
      <c r="C520" s="1" t="s">
        <v>2477</v>
      </c>
      <c r="D520" s="1" t="s">
        <v>201</v>
      </c>
      <c r="E520" s="1" t="s">
        <v>2478</v>
      </c>
      <c r="F520" s="1" t="s">
        <v>2479</v>
      </c>
      <c r="G520" s="1">
        <v>38</v>
      </c>
      <c r="H520" s="1">
        <v>10</v>
      </c>
      <c r="I520" s="1">
        <v>2020</v>
      </c>
      <c r="J520" s="1" t="s">
        <v>6</v>
      </c>
      <c r="K520" s="1">
        <v>65</v>
      </c>
      <c r="L520" s="1">
        <v>339</v>
      </c>
      <c r="M520" s="1">
        <v>362</v>
      </c>
      <c r="N520" s="1" t="s">
        <v>6</v>
      </c>
      <c r="O520" s="1" t="s">
        <v>2480</v>
      </c>
      <c r="P520" s="3" t="str">
        <f>HYPERLINK("http://dx.doi.org/10.22199/issn.0718-1043-2020-0037","http://dx.doi.org/10.22199/issn.0718-1043-2020-0037")</f>
        <v>http://dx.doi.org/10.22199/issn.0718-1043-2020-0037</v>
      </c>
    </row>
    <row r="521" spans="1:16" ht="15.75" customHeight="1">
      <c r="A521" s="1" t="s">
        <v>10</v>
      </c>
      <c r="B521" s="1" t="s">
        <v>4545</v>
      </c>
      <c r="C521" s="1" t="s">
        <v>4546</v>
      </c>
      <c r="D521" s="1" t="s">
        <v>556</v>
      </c>
      <c r="E521" s="1" t="s">
        <v>4547</v>
      </c>
      <c r="F521" s="1" t="s">
        <v>4548</v>
      </c>
      <c r="H521" s="1">
        <v>10</v>
      </c>
      <c r="I521" s="1">
        <v>2020</v>
      </c>
      <c r="J521" s="1">
        <v>15</v>
      </c>
      <c r="K521" s="1">
        <v>2</v>
      </c>
      <c r="O521" s="1" t="s">
        <v>4549</v>
      </c>
    </row>
    <row r="522" spans="1:16" ht="15.75" customHeight="1">
      <c r="A522" s="1" t="s">
        <v>0</v>
      </c>
      <c r="B522" s="1" t="s">
        <v>5100</v>
      </c>
      <c r="C522" s="1" t="s">
        <v>5101</v>
      </c>
      <c r="D522" s="1" t="s">
        <v>1119</v>
      </c>
      <c r="E522" s="1" t="s">
        <v>5102</v>
      </c>
      <c r="F522" s="1" t="s">
        <v>5103</v>
      </c>
      <c r="G522" s="1">
        <v>40</v>
      </c>
      <c r="H522" s="1">
        <v>10</v>
      </c>
      <c r="I522" s="1">
        <v>2020</v>
      </c>
      <c r="J522" s="1">
        <v>65</v>
      </c>
      <c r="K522" s="1">
        <v>2</v>
      </c>
      <c r="L522" s="1">
        <v>459</v>
      </c>
      <c r="M522" s="1">
        <v>489</v>
      </c>
      <c r="N522" s="1" t="s">
        <v>6</v>
      </c>
      <c r="O522" s="1" t="s">
        <v>5104</v>
      </c>
      <c r="P522" s="3" t="str">
        <f>HYPERLINK("http://dx.doi.org/10.1007/s00168-020-00991-7","http://dx.doi.org/10.1007/s00168-020-00991-7")</f>
        <v>http://dx.doi.org/10.1007/s00168-020-00991-7</v>
      </c>
    </row>
    <row r="523" spans="1:16" ht="15.75" customHeight="1">
      <c r="A523" s="1" t="s">
        <v>10</v>
      </c>
      <c r="B523" s="1" t="s">
        <v>6427</v>
      </c>
      <c r="C523" s="1" t="s">
        <v>6428</v>
      </c>
      <c r="D523" s="1" t="s">
        <v>6429</v>
      </c>
      <c r="E523" s="1" t="s">
        <v>6430</v>
      </c>
      <c r="F523" s="1" t="s">
        <v>6431</v>
      </c>
      <c r="H523" s="1">
        <v>9</v>
      </c>
      <c r="I523" s="1">
        <v>2020</v>
      </c>
      <c r="J523" s="1">
        <v>66</v>
      </c>
      <c r="K523" s="1">
        <v>1</v>
      </c>
      <c r="O523" s="1" t="s">
        <v>6432</v>
      </c>
    </row>
    <row r="524" spans="1:16" ht="15.75" customHeight="1">
      <c r="A524" s="1" t="s">
        <v>10</v>
      </c>
      <c r="B524" s="1" t="s">
        <v>5639</v>
      </c>
      <c r="C524" s="1" t="s">
        <v>5640</v>
      </c>
      <c r="D524" s="1" t="s">
        <v>2900</v>
      </c>
      <c r="E524" s="1" t="s">
        <v>5641</v>
      </c>
      <c r="F524" s="1" t="s">
        <v>5642</v>
      </c>
      <c r="H524" s="1">
        <v>9</v>
      </c>
      <c r="I524" s="1">
        <v>2020</v>
      </c>
      <c r="J524" s="1">
        <v>203</v>
      </c>
      <c r="O524" s="1" t="s">
        <v>5643</v>
      </c>
    </row>
    <row r="525" spans="1:16" ht="15.75" customHeight="1">
      <c r="A525" s="1" t="s">
        <v>0</v>
      </c>
      <c r="B525" s="1" t="s">
        <v>4466</v>
      </c>
      <c r="C525" s="1" t="s">
        <v>4467</v>
      </c>
      <c r="D525" s="1" t="s">
        <v>4468</v>
      </c>
      <c r="E525" s="1" t="s">
        <v>4469</v>
      </c>
      <c r="F525" s="1" t="s">
        <v>4470</v>
      </c>
      <c r="G525" s="1">
        <v>46</v>
      </c>
      <c r="H525" s="1">
        <v>9</v>
      </c>
      <c r="I525" s="1">
        <v>2020</v>
      </c>
      <c r="J525" s="1">
        <v>29</v>
      </c>
      <c r="K525" s="1">
        <v>3</v>
      </c>
      <c r="L525" s="1">
        <v>293</v>
      </c>
      <c r="M525" s="1">
        <v>318</v>
      </c>
      <c r="N525" s="1" t="s">
        <v>6</v>
      </c>
      <c r="O525" s="1" t="s">
        <v>4471</v>
      </c>
      <c r="P525" s="3" t="str">
        <f>HYPERLINK("http://dx.doi.org/10.1080/09620214.2020.1771748","http://dx.doi.org/10.1080/09620214.2020.1771748")</f>
        <v>http://dx.doi.org/10.1080/09620214.2020.1771748</v>
      </c>
    </row>
    <row r="526" spans="1:16" ht="15.75" customHeight="1">
      <c r="A526" s="1" t="s">
        <v>10</v>
      </c>
      <c r="B526" s="1" t="s">
        <v>871</v>
      </c>
      <c r="C526" s="1" t="s">
        <v>872</v>
      </c>
      <c r="D526" s="1" t="s">
        <v>873</v>
      </c>
      <c r="E526" s="1" t="s">
        <v>874</v>
      </c>
      <c r="F526" s="1" t="s">
        <v>875</v>
      </c>
      <c r="H526" s="1">
        <v>8</v>
      </c>
      <c r="I526" s="1">
        <v>2020</v>
      </c>
      <c r="J526" s="1">
        <v>17</v>
      </c>
      <c r="K526" s="1">
        <v>4</v>
      </c>
      <c r="O526" s="1" t="s">
        <v>876</v>
      </c>
    </row>
    <row r="527" spans="1:16" ht="15.75" customHeight="1">
      <c r="A527" s="1" t="s">
        <v>10</v>
      </c>
      <c r="B527" s="1" t="s">
        <v>25</v>
      </c>
      <c r="C527" s="1" t="s">
        <v>26</v>
      </c>
      <c r="D527" s="1" t="s">
        <v>27</v>
      </c>
      <c r="E527" s="1" t="s">
        <v>28</v>
      </c>
      <c r="F527" s="1" t="s">
        <v>29</v>
      </c>
      <c r="H527" s="1">
        <v>8</v>
      </c>
      <c r="I527" s="1">
        <v>2020</v>
      </c>
      <c r="J527" s="1">
        <v>12</v>
      </c>
      <c r="K527" s="1">
        <v>23</v>
      </c>
      <c r="O527" s="1" t="s">
        <v>30</v>
      </c>
    </row>
    <row r="528" spans="1:16" ht="15.75" customHeight="1">
      <c r="A528" s="1" t="s">
        <v>0</v>
      </c>
      <c r="B528" s="1" t="s">
        <v>2511</v>
      </c>
      <c r="C528" s="1" t="s">
        <v>2512</v>
      </c>
      <c r="D528" s="1" t="s">
        <v>2513</v>
      </c>
      <c r="E528" s="1" t="s">
        <v>2514</v>
      </c>
      <c r="F528" s="1" t="s">
        <v>2515</v>
      </c>
      <c r="G528" s="1">
        <v>35</v>
      </c>
      <c r="H528" s="1">
        <v>8</v>
      </c>
      <c r="I528" s="1">
        <v>2020</v>
      </c>
      <c r="K528" s="1" t="s">
        <v>2516</v>
      </c>
      <c r="O528" s="1" t="s">
        <v>2517</v>
      </c>
    </row>
    <row r="529" spans="1:16" ht="15.75" customHeight="1">
      <c r="A529" s="1" t="s">
        <v>10</v>
      </c>
      <c r="B529" s="1" t="s">
        <v>5558</v>
      </c>
      <c r="C529" s="1" t="s">
        <v>5559</v>
      </c>
      <c r="D529" s="1" t="s">
        <v>3559</v>
      </c>
      <c r="E529" s="1" t="s">
        <v>5560</v>
      </c>
      <c r="F529" s="1" t="s">
        <v>5561</v>
      </c>
      <c r="H529" s="1">
        <v>8</v>
      </c>
      <c r="I529" s="1">
        <v>2020</v>
      </c>
      <c r="J529" s="1">
        <v>40</v>
      </c>
      <c r="K529" s="1">
        <v>2</v>
      </c>
    </row>
    <row r="530" spans="1:16" ht="15.75" customHeight="1">
      <c r="A530" s="1" t="s">
        <v>10</v>
      </c>
      <c r="B530" s="1" t="s">
        <v>3352</v>
      </c>
      <c r="C530" s="1" t="s">
        <v>3353</v>
      </c>
      <c r="D530" s="1" t="s">
        <v>88</v>
      </c>
      <c r="E530" s="1" t="s">
        <v>3354</v>
      </c>
      <c r="F530" s="1" t="s">
        <v>3355</v>
      </c>
      <c r="H530" s="1">
        <v>8</v>
      </c>
      <c r="I530" s="1">
        <v>2020</v>
      </c>
      <c r="J530" s="1">
        <v>130</v>
      </c>
      <c r="O530" s="1" t="s">
        <v>3356</v>
      </c>
    </row>
    <row r="531" spans="1:16" ht="15.75" customHeight="1">
      <c r="A531" s="1" t="s">
        <v>0</v>
      </c>
      <c r="B531" s="1" t="s">
        <v>6633</v>
      </c>
      <c r="C531" s="1" t="s">
        <v>6634</v>
      </c>
      <c r="D531" s="1" t="s">
        <v>1325</v>
      </c>
      <c r="E531" s="1" t="s">
        <v>6635</v>
      </c>
      <c r="F531" s="1" t="s">
        <v>6636</v>
      </c>
      <c r="G531" s="1">
        <v>42</v>
      </c>
      <c r="H531" s="1">
        <v>8</v>
      </c>
      <c r="I531" s="1">
        <v>2020</v>
      </c>
      <c r="J531" s="1">
        <v>21</v>
      </c>
      <c r="K531" s="1">
        <v>1</v>
      </c>
      <c r="L531" s="1">
        <v>295</v>
      </c>
      <c r="M531" s="1">
        <v>306</v>
      </c>
      <c r="N531" s="1" t="s">
        <v>6</v>
      </c>
      <c r="O531" s="1" t="s">
        <v>6637</v>
      </c>
      <c r="P531" s="3" t="str">
        <f>HYPERLINK("http://dx.doi.org/10.1007/s12134-019-00731-7","http://dx.doi.org/10.1007/s12134-019-00731-7")</f>
        <v>http://dx.doi.org/10.1007/s12134-019-00731-7</v>
      </c>
    </row>
    <row r="532" spans="1:16" ht="15.75" customHeight="1">
      <c r="A532" s="1" t="s">
        <v>10</v>
      </c>
      <c r="B532" s="1" t="s">
        <v>5542</v>
      </c>
      <c r="C532" s="1" t="s">
        <v>5543</v>
      </c>
      <c r="D532" s="1" t="s">
        <v>5544</v>
      </c>
      <c r="E532" s="1" t="s">
        <v>5545</v>
      </c>
      <c r="F532" s="1" t="s">
        <v>5546</v>
      </c>
      <c r="H532" s="1">
        <v>7</v>
      </c>
      <c r="I532" s="1">
        <v>2020</v>
      </c>
      <c r="K532" s="1">
        <v>81</v>
      </c>
      <c r="O532" s="1" t="s">
        <v>5547</v>
      </c>
    </row>
    <row r="533" spans="1:16" ht="15.75" customHeight="1">
      <c r="A533" s="1" t="s">
        <v>10</v>
      </c>
      <c r="B533" s="1" t="s">
        <v>3375</v>
      </c>
      <c r="C533" s="1" t="s">
        <v>3376</v>
      </c>
      <c r="D533" s="1" t="s">
        <v>3377</v>
      </c>
      <c r="E533" s="1" t="s">
        <v>3378</v>
      </c>
      <c r="F533" s="1" t="s">
        <v>3379</v>
      </c>
      <c r="H533" s="1">
        <v>7</v>
      </c>
      <c r="I533" s="1">
        <v>2020</v>
      </c>
      <c r="J533" s="1">
        <v>12</v>
      </c>
      <c r="K533" s="1">
        <v>2</v>
      </c>
      <c r="O533" s="1" t="s">
        <v>3380</v>
      </c>
    </row>
    <row r="534" spans="1:16" ht="15.75" customHeight="1">
      <c r="A534" s="1" t="s">
        <v>0</v>
      </c>
      <c r="B534" s="1" t="s">
        <v>1571</v>
      </c>
      <c r="C534" s="1" t="s">
        <v>1572</v>
      </c>
      <c r="D534" s="1" t="s">
        <v>715</v>
      </c>
      <c r="E534" s="1" t="s">
        <v>1573</v>
      </c>
      <c r="F534" s="1" t="s">
        <v>1574</v>
      </c>
      <c r="G534" s="1">
        <v>29</v>
      </c>
      <c r="H534" s="1">
        <v>7</v>
      </c>
      <c r="I534" s="1">
        <v>2020</v>
      </c>
      <c r="J534" s="1">
        <v>37</v>
      </c>
      <c r="K534" s="1" t="s">
        <v>1575</v>
      </c>
      <c r="O534" s="1" t="s">
        <v>1576</v>
      </c>
    </row>
    <row r="535" spans="1:16" ht="15.75" customHeight="1">
      <c r="A535" s="1" t="s">
        <v>10</v>
      </c>
      <c r="B535" s="1" t="s">
        <v>2646</v>
      </c>
      <c r="C535" s="1" t="s">
        <v>2647</v>
      </c>
      <c r="D535" s="1" t="s">
        <v>406</v>
      </c>
      <c r="E535" s="1" t="s">
        <v>2648</v>
      </c>
      <c r="F535" s="1" t="s">
        <v>2649</v>
      </c>
      <c r="H535" s="1">
        <v>6</v>
      </c>
      <c r="I535" s="1">
        <v>2020</v>
      </c>
      <c r="J535" s="1">
        <v>14</v>
      </c>
      <c r="K535" s="1">
        <v>8</v>
      </c>
      <c r="O535" s="1" t="s">
        <v>2650</v>
      </c>
    </row>
    <row r="536" spans="1:16" ht="15.75" customHeight="1">
      <c r="A536" s="1" t="s">
        <v>10</v>
      </c>
      <c r="B536" s="1" t="s">
        <v>5801</v>
      </c>
      <c r="C536" s="1" t="s">
        <v>5802</v>
      </c>
      <c r="D536" s="1" t="s">
        <v>1528</v>
      </c>
      <c r="E536" s="1" t="s">
        <v>5803</v>
      </c>
      <c r="F536" s="1" t="s">
        <v>5804</v>
      </c>
      <c r="H536" s="1">
        <v>6</v>
      </c>
      <c r="I536" s="1">
        <v>2020</v>
      </c>
      <c r="J536" s="1">
        <v>2020</v>
      </c>
      <c r="K536" s="1">
        <v>40</v>
      </c>
      <c r="O536" s="1" t="s">
        <v>5805</v>
      </c>
    </row>
    <row r="537" spans="1:16" ht="15.75" customHeight="1">
      <c r="A537" s="1" t="s">
        <v>10</v>
      </c>
      <c r="B537" s="1" t="s">
        <v>2428</v>
      </c>
      <c r="C537" s="1" t="s">
        <v>2429</v>
      </c>
      <c r="D537" s="1" t="s">
        <v>2430</v>
      </c>
      <c r="E537" s="1" t="s">
        <v>2431</v>
      </c>
      <c r="F537" s="1" t="s">
        <v>2432</v>
      </c>
      <c r="H537" s="1">
        <v>6</v>
      </c>
      <c r="I537" s="1">
        <v>2020</v>
      </c>
      <c r="J537" s="1">
        <v>9</v>
      </c>
      <c r="K537" s="1">
        <v>2</v>
      </c>
      <c r="O537" s="1" t="s">
        <v>2433</v>
      </c>
    </row>
    <row r="538" spans="1:16" ht="15.75" customHeight="1">
      <c r="A538" s="1" t="s">
        <v>0</v>
      </c>
      <c r="B538" s="1" t="s">
        <v>1953</v>
      </c>
      <c r="C538" s="1" t="s">
        <v>1954</v>
      </c>
      <c r="D538" s="1" t="s">
        <v>1955</v>
      </c>
      <c r="E538" s="1" t="s">
        <v>1956</v>
      </c>
      <c r="F538" s="1" t="s">
        <v>1957</v>
      </c>
      <c r="G538" s="1">
        <v>30</v>
      </c>
      <c r="H538" s="1">
        <v>6</v>
      </c>
      <c r="I538" s="1">
        <v>2020</v>
      </c>
      <c r="J538" s="1" t="s">
        <v>6</v>
      </c>
      <c r="K538" s="1">
        <v>28</v>
      </c>
      <c r="L538" s="1">
        <v>97</v>
      </c>
      <c r="M538" s="1">
        <v>117</v>
      </c>
      <c r="N538" s="1" t="s">
        <v>6</v>
      </c>
      <c r="O538" s="1" t="s">
        <v>1958</v>
      </c>
      <c r="P538" s="3" t="str">
        <f>HYPERLINK("http://dx.doi.org/10.21017/Rev.Repub.2020.v28.a78","http://dx.doi.org/10.21017/Rev.Repub.2020.v28.a78")</f>
        <v>http://dx.doi.org/10.21017/Rev.Repub.2020.v28.a78</v>
      </c>
    </row>
    <row r="539" spans="1:16" ht="15.75" customHeight="1">
      <c r="A539" s="1" t="s">
        <v>0</v>
      </c>
      <c r="B539" s="1" t="s">
        <v>5415</v>
      </c>
      <c r="C539" s="1" t="s">
        <v>5416</v>
      </c>
      <c r="D539" s="1" t="s">
        <v>5417</v>
      </c>
      <c r="E539" s="1" t="s">
        <v>5418</v>
      </c>
      <c r="F539" s="1" t="s">
        <v>5419</v>
      </c>
      <c r="G539" s="1">
        <v>67</v>
      </c>
      <c r="H539" s="1">
        <v>6</v>
      </c>
      <c r="I539" s="1">
        <v>2020</v>
      </c>
      <c r="J539" s="1">
        <v>5</v>
      </c>
      <c r="K539" s="1">
        <v>3</v>
      </c>
      <c r="L539" s="1">
        <v>305</v>
      </c>
      <c r="M539" s="1">
        <v>323</v>
      </c>
      <c r="N539" s="1" t="s">
        <v>6</v>
      </c>
      <c r="O539" s="1" t="s">
        <v>5420</v>
      </c>
      <c r="P539" s="3" t="str">
        <f>HYPERLINK("http://dx.doi.org/10.1080/23792949.2019.1680298","http://dx.doi.org/10.1080/23792949.2019.1680298")</f>
        <v>http://dx.doi.org/10.1080/23792949.2019.1680298</v>
      </c>
    </row>
    <row r="540" spans="1:16" ht="15.75" customHeight="1">
      <c r="A540" s="1" t="s">
        <v>0</v>
      </c>
      <c r="B540" s="1" t="s">
        <v>5537</v>
      </c>
      <c r="C540" s="1" t="s">
        <v>5538</v>
      </c>
      <c r="D540" s="1" t="s">
        <v>4410</v>
      </c>
      <c r="E540" s="1" t="s">
        <v>5539</v>
      </c>
      <c r="F540" s="1" t="s">
        <v>5540</v>
      </c>
      <c r="G540" s="1">
        <v>64</v>
      </c>
      <c r="H540" s="1">
        <v>5</v>
      </c>
      <c r="I540" s="1">
        <v>2020</v>
      </c>
      <c r="J540" s="1">
        <v>39</v>
      </c>
      <c r="K540" s="1">
        <v>4</v>
      </c>
      <c r="L540" s="1">
        <v>483</v>
      </c>
      <c r="M540" s="1">
        <v>499</v>
      </c>
      <c r="N540" s="1" t="s">
        <v>6</v>
      </c>
      <c r="O540" s="1" t="s">
        <v>5541</v>
      </c>
      <c r="P540" s="3" t="str">
        <f>HYPERLINK("http://dx.doi.org/10.1111/blar.12989","http://dx.doi.org/10.1111/blar.12989")</f>
        <v>http://dx.doi.org/10.1111/blar.12989</v>
      </c>
    </row>
    <row r="541" spans="1:16" ht="15.75" customHeight="1">
      <c r="A541" s="1" t="s">
        <v>10</v>
      </c>
      <c r="B541" s="1" t="s">
        <v>5657</v>
      </c>
      <c r="C541" s="1" t="s">
        <v>5658</v>
      </c>
      <c r="D541" s="1" t="s">
        <v>5659</v>
      </c>
      <c r="E541" s="1" t="s">
        <v>5660</v>
      </c>
      <c r="F541" s="1" t="s">
        <v>5661</v>
      </c>
      <c r="H541" s="1">
        <v>5</v>
      </c>
      <c r="I541" s="1">
        <v>2020</v>
      </c>
      <c r="J541" s="1">
        <v>25</v>
      </c>
      <c r="K541" s="1">
        <v>1</v>
      </c>
      <c r="O541" s="1" t="s">
        <v>5662</v>
      </c>
    </row>
    <row r="542" spans="1:16" ht="15.75" customHeight="1">
      <c r="A542" s="1" t="s">
        <v>10</v>
      </c>
      <c r="B542" s="1" t="s">
        <v>5441</v>
      </c>
      <c r="C542" s="1" t="s">
        <v>5442</v>
      </c>
      <c r="D542" s="1" t="s">
        <v>3559</v>
      </c>
      <c r="E542" s="1" t="s">
        <v>5443</v>
      </c>
      <c r="F542" s="1" t="s">
        <v>5444</v>
      </c>
      <c r="H542" s="1">
        <v>5</v>
      </c>
      <c r="I542" s="1">
        <v>2020</v>
      </c>
      <c r="J542" s="1">
        <v>40</v>
      </c>
      <c r="K542" s="1">
        <v>2</v>
      </c>
      <c r="O542" s="1" t="s">
        <v>5445</v>
      </c>
    </row>
    <row r="543" spans="1:16" ht="15.75" customHeight="1">
      <c r="A543" s="1" t="s">
        <v>10</v>
      </c>
      <c r="B543" s="1" t="s">
        <v>5436</v>
      </c>
      <c r="C543" s="1" t="s">
        <v>5437</v>
      </c>
      <c r="D543" s="1" t="s">
        <v>2731</v>
      </c>
      <c r="E543" s="1" t="s">
        <v>5438</v>
      </c>
      <c r="F543" s="1" t="s">
        <v>5439</v>
      </c>
      <c r="H543" s="1">
        <v>5</v>
      </c>
      <c r="I543" s="1">
        <v>2020</v>
      </c>
      <c r="J543" s="1">
        <v>2020</v>
      </c>
      <c r="K543" s="1">
        <v>49</v>
      </c>
      <c r="O543" s="1" t="s">
        <v>5440</v>
      </c>
    </row>
    <row r="544" spans="1:16" ht="15.75" customHeight="1">
      <c r="A544" s="1" t="s">
        <v>0</v>
      </c>
      <c r="B544" s="1" t="s">
        <v>5324</v>
      </c>
      <c r="C544" s="1" t="s">
        <v>5325</v>
      </c>
      <c r="D544" s="1" t="s">
        <v>195</v>
      </c>
      <c r="E544" s="1" t="s">
        <v>5326</v>
      </c>
      <c r="F544" s="1" t="s">
        <v>5327</v>
      </c>
      <c r="G544" s="1">
        <v>46</v>
      </c>
      <c r="H544" s="1">
        <v>5</v>
      </c>
      <c r="I544" s="1">
        <v>2020</v>
      </c>
      <c r="J544" s="1">
        <v>52</v>
      </c>
      <c r="K544" s="1">
        <v>2</v>
      </c>
      <c r="L544" s="1">
        <v>347</v>
      </c>
      <c r="M544" s="1">
        <v>360</v>
      </c>
      <c r="N544" s="1" t="s">
        <v>6</v>
      </c>
      <c r="O544" s="1" t="s">
        <v>5328</v>
      </c>
      <c r="P544" s="3" t="str">
        <f>HYPERLINK("http://dx.doi.org/10.4067/S0717-73562020005001004","http://dx.doi.org/10.4067/S0717-73562020005001004")</f>
        <v>http://dx.doi.org/10.4067/S0717-73562020005001004</v>
      </c>
    </row>
    <row r="545" spans="1:16" ht="15.75" customHeight="1">
      <c r="A545" s="1" t="s">
        <v>10</v>
      </c>
      <c r="B545" s="1" t="s">
        <v>1683</v>
      </c>
      <c r="C545" s="1" t="s">
        <v>1684</v>
      </c>
      <c r="D545" s="1" t="s">
        <v>1685</v>
      </c>
      <c r="E545" s="1" t="s">
        <v>1686</v>
      </c>
      <c r="F545" s="1" t="s">
        <v>1687</v>
      </c>
      <c r="H545" s="1">
        <v>5</v>
      </c>
      <c r="I545" s="1">
        <v>2020</v>
      </c>
      <c r="J545" s="1">
        <v>20</v>
      </c>
      <c r="K545" s="1">
        <v>1</v>
      </c>
      <c r="O545" s="1" t="s">
        <v>1688</v>
      </c>
    </row>
    <row r="546" spans="1:16" ht="15.75" customHeight="1">
      <c r="A546" s="1" t="s">
        <v>10</v>
      </c>
      <c r="B546" s="1" t="s">
        <v>5178</v>
      </c>
      <c r="C546" s="1" t="s">
        <v>5179</v>
      </c>
      <c r="D546" s="1" t="s">
        <v>2857</v>
      </c>
      <c r="E546" s="1" t="s">
        <v>5180</v>
      </c>
      <c r="F546" s="1" t="s">
        <v>5181</v>
      </c>
      <c r="H546" s="1">
        <v>4</v>
      </c>
      <c r="I546" s="1">
        <v>2020</v>
      </c>
      <c r="J546" s="1">
        <v>46</v>
      </c>
      <c r="K546" s="1">
        <v>2</v>
      </c>
      <c r="O546" s="1" t="s">
        <v>5182</v>
      </c>
    </row>
    <row r="547" spans="1:16" ht="15.75" customHeight="1">
      <c r="A547" s="1" t="s">
        <v>10</v>
      </c>
      <c r="B547" s="1" t="s">
        <v>594</v>
      </c>
      <c r="C547" s="1" t="s">
        <v>595</v>
      </c>
      <c r="D547" s="1" t="s">
        <v>596</v>
      </c>
      <c r="E547" s="1" t="s">
        <v>597</v>
      </c>
      <c r="F547" s="1" t="s">
        <v>598</v>
      </c>
      <c r="H547" s="1">
        <v>4</v>
      </c>
      <c r="I547" s="1">
        <v>2020</v>
      </c>
      <c r="J547" s="1">
        <v>43</v>
      </c>
      <c r="K547" s="1">
        <v>9</v>
      </c>
      <c r="O547" s="1" t="s">
        <v>599</v>
      </c>
    </row>
    <row r="548" spans="1:16" ht="15.75" customHeight="1">
      <c r="A548" s="1" t="s">
        <v>0</v>
      </c>
      <c r="B548" s="1" t="s">
        <v>6933</v>
      </c>
      <c r="C548" s="1" t="s">
        <v>6934</v>
      </c>
      <c r="D548" s="1" t="s">
        <v>5385</v>
      </c>
      <c r="E548" s="1" t="s">
        <v>6935</v>
      </c>
      <c r="F548" s="1" t="s">
        <v>6936</v>
      </c>
      <c r="G548" s="1">
        <v>54</v>
      </c>
      <c r="H548" s="1">
        <v>4</v>
      </c>
      <c r="I548" s="1">
        <v>2020</v>
      </c>
      <c r="J548" s="1">
        <v>27</v>
      </c>
      <c r="K548" s="1">
        <v>2</v>
      </c>
      <c r="L548" s="1">
        <v>191</v>
      </c>
      <c r="M548" s="1">
        <v>209</v>
      </c>
      <c r="N548" s="1" t="s">
        <v>6</v>
      </c>
      <c r="O548" s="1" t="s">
        <v>6937</v>
      </c>
      <c r="P548" s="3" t="str">
        <f>HYPERLINK("http://dx.doi.org/10.1080/1070289X.2018.1537639","http://dx.doi.org/10.1080/1070289X.2018.1537639")</f>
        <v>http://dx.doi.org/10.1080/1070289X.2018.1537639</v>
      </c>
    </row>
    <row r="549" spans="1:16" ht="15.75" customHeight="1">
      <c r="A549" s="1" t="s">
        <v>10</v>
      </c>
      <c r="B549" s="1" t="s">
        <v>5669</v>
      </c>
      <c r="C549" s="1" t="s">
        <v>5670</v>
      </c>
      <c r="D549" s="1" t="s">
        <v>656</v>
      </c>
      <c r="E549" s="1" t="s">
        <v>5671</v>
      </c>
      <c r="F549" s="1" t="s">
        <v>5672</v>
      </c>
      <c r="H549" s="1">
        <v>4</v>
      </c>
      <c r="I549" s="1">
        <v>2020</v>
      </c>
      <c r="J549" s="1">
        <v>2020</v>
      </c>
      <c r="K549" s="1">
        <v>27</v>
      </c>
      <c r="O549" s="1" t="s">
        <v>5673</v>
      </c>
    </row>
    <row r="550" spans="1:16" ht="15.75" customHeight="1">
      <c r="A550" s="1" t="s">
        <v>10</v>
      </c>
      <c r="B550" s="1" t="s">
        <v>2102</v>
      </c>
      <c r="C550" s="1" t="s">
        <v>2103</v>
      </c>
      <c r="D550" s="1" t="s">
        <v>2104</v>
      </c>
      <c r="E550" s="1" t="s">
        <v>2105</v>
      </c>
      <c r="F550" s="1" t="s">
        <v>2106</v>
      </c>
      <c r="H550" s="1">
        <v>4</v>
      </c>
      <c r="I550" s="1">
        <v>2020</v>
      </c>
      <c r="J550" s="1">
        <v>46</v>
      </c>
      <c r="K550" s="1" t="s">
        <v>1343</v>
      </c>
      <c r="O550" s="1" t="s">
        <v>2107</v>
      </c>
    </row>
    <row r="551" spans="1:16" ht="15.75" customHeight="1">
      <c r="A551" s="1" t="s">
        <v>0</v>
      </c>
      <c r="B551" s="1" t="s">
        <v>2594</v>
      </c>
      <c r="C551" s="1" t="s">
        <v>2595</v>
      </c>
      <c r="D551" s="1" t="s">
        <v>2596</v>
      </c>
      <c r="E551" s="1" t="s">
        <v>2597</v>
      </c>
      <c r="F551" s="1" t="s">
        <v>2598</v>
      </c>
      <c r="G551" s="1">
        <v>82</v>
      </c>
      <c r="H551" s="1">
        <v>4</v>
      </c>
      <c r="I551" s="1">
        <v>2020</v>
      </c>
      <c r="J551" s="1">
        <v>14</v>
      </c>
      <c r="K551" s="1">
        <v>3</v>
      </c>
      <c r="L551" s="1">
        <v>443</v>
      </c>
      <c r="M551" s="1">
        <v>477</v>
      </c>
      <c r="N551" s="1" t="s">
        <v>6</v>
      </c>
      <c r="O551" s="1" t="s">
        <v>2599</v>
      </c>
      <c r="P551" s="3" t="str">
        <f>HYPERLINK("http://dx.doi.org/10.1007/s11698-019-00194-x","http://dx.doi.org/10.1007/s11698-019-00194-x")</f>
        <v>http://dx.doi.org/10.1007/s11698-019-00194-x</v>
      </c>
    </row>
    <row r="552" spans="1:16" ht="15.75" customHeight="1">
      <c r="A552" s="1" t="s">
        <v>0</v>
      </c>
      <c r="B552" s="1" t="s">
        <v>2835</v>
      </c>
      <c r="C552" s="1" t="s">
        <v>2836</v>
      </c>
      <c r="D552" s="1" t="s">
        <v>2837</v>
      </c>
      <c r="E552" s="1" t="s">
        <v>2838</v>
      </c>
      <c r="F552" s="1" t="s">
        <v>2839</v>
      </c>
      <c r="G552" s="1">
        <v>28</v>
      </c>
      <c r="H552" s="1">
        <v>3</v>
      </c>
      <c r="I552" s="1">
        <v>2020</v>
      </c>
      <c r="J552" s="1">
        <v>42</v>
      </c>
      <c r="K552" s="1">
        <v>1</v>
      </c>
      <c r="L552" s="1">
        <v>126</v>
      </c>
      <c r="M552" s="1">
        <v>135</v>
      </c>
      <c r="N552" s="1">
        <v>163443719884060</v>
      </c>
      <c r="O552" s="1" t="s">
        <v>2840</v>
      </c>
      <c r="P552" s="3" t="str">
        <f>HYPERLINK("http://dx.doi.org/10.1177/0163443719884060","http://dx.doi.org/10.1177/0163443719884060")</f>
        <v>http://dx.doi.org/10.1177/0163443719884060</v>
      </c>
    </row>
    <row r="553" spans="1:16" ht="15.75" customHeight="1">
      <c r="A553" s="1" t="s">
        <v>10</v>
      </c>
      <c r="B553" s="1" t="s">
        <v>4786</v>
      </c>
      <c r="C553" s="1" t="s">
        <v>4787</v>
      </c>
      <c r="D553" s="1" t="s">
        <v>171</v>
      </c>
      <c r="E553" s="1" t="s">
        <v>4788</v>
      </c>
      <c r="F553" s="1" t="s">
        <v>4789</v>
      </c>
      <c r="H553" s="1">
        <v>3</v>
      </c>
      <c r="I553" s="1">
        <v>2020</v>
      </c>
      <c r="J553" s="1">
        <v>11</v>
      </c>
      <c r="K553" s="1">
        <v>1</v>
      </c>
      <c r="O553" s="1" t="s">
        <v>4790</v>
      </c>
    </row>
    <row r="554" spans="1:16" ht="15.75" customHeight="1">
      <c r="A554" s="1" t="s">
        <v>10</v>
      </c>
      <c r="B554" s="1" t="s">
        <v>3441</v>
      </c>
      <c r="C554" s="1" t="s">
        <v>3442</v>
      </c>
      <c r="D554" s="2" t="s">
        <v>418</v>
      </c>
      <c r="E554" s="1" t="s">
        <v>3443</v>
      </c>
      <c r="F554" s="1" t="s">
        <v>3444</v>
      </c>
      <c r="H554" s="1">
        <v>3</v>
      </c>
      <c r="I554" s="1">
        <v>2020</v>
      </c>
      <c r="J554" s="1">
        <v>11</v>
      </c>
      <c r="O554" s="1" t="s">
        <v>3445</v>
      </c>
    </row>
    <row r="555" spans="1:16" ht="15.75" customHeight="1">
      <c r="A555" s="1" t="s">
        <v>0</v>
      </c>
      <c r="B555" s="1" t="s">
        <v>2287</v>
      </c>
      <c r="C555" s="1" t="s">
        <v>2288</v>
      </c>
      <c r="D555" s="1" t="s">
        <v>206</v>
      </c>
      <c r="E555" s="1" t="s">
        <v>2289</v>
      </c>
      <c r="F555" s="1" t="s">
        <v>2290</v>
      </c>
      <c r="G555" s="1">
        <v>66</v>
      </c>
      <c r="H555" s="1">
        <v>3</v>
      </c>
      <c r="I555" s="1">
        <v>2020</v>
      </c>
      <c r="J555" s="1" t="s">
        <v>6</v>
      </c>
      <c r="K555" s="1">
        <v>72</v>
      </c>
      <c r="L555" s="1">
        <v>18</v>
      </c>
      <c r="M555" s="1">
        <v>32</v>
      </c>
      <c r="N555" s="1" t="s">
        <v>6</v>
      </c>
      <c r="O555" s="1" t="s">
        <v>2291</v>
      </c>
      <c r="P555" s="3" t="str">
        <f>HYPERLINK("http://dx.doi.org/10.7440/res72.2020.02","http://dx.doi.org/10.7440/res72.2020.02")</f>
        <v>http://dx.doi.org/10.7440/res72.2020.02</v>
      </c>
    </row>
    <row r="556" spans="1:16" ht="15.75" customHeight="1">
      <c r="A556" s="1" t="s">
        <v>10</v>
      </c>
      <c r="B556" s="1" t="s">
        <v>4791</v>
      </c>
      <c r="C556" s="1" t="s">
        <v>4792</v>
      </c>
      <c r="D556" s="1" t="s">
        <v>4793</v>
      </c>
      <c r="E556" s="1" t="s">
        <v>4794</v>
      </c>
      <c r="F556" s="1" t="s">
        <v>4795</v>
      </c>
      <c r="H556" s="1">
        <v>3</v>
      </c>
      <c r="I556" s="1">
        <v>2020</v>
      </c>
      <c r="J556" s="1">
        <v>61</v>
      </c>
      <c r="K556" s="1">
        <v>2</v>
      </c>
      <c r="O556" s="1" t="s">
        <v>4796</v>
      </c>
    </row>
    <row r="557" spans="1:16" ht="15.75" customHeight="1">
      <c r="A557" s="1" t="s">
        <v>0</v>
      </c>
      <c r="B557" s="1" t="s">
        <v>5969</v>
      </c>
      <c r="C557" s="1" t="s">
        <v>5970</v>
      </c>
      <c r="D557" s="1" t="s">
        <v>52</v>
      </c>
      <c r="E557" s="1" t="s">
        <v>5971</v>
      </c>
      <c r="F557" s="1" t="s">
        <v>5972</v>
      </c>
      <c r="G557" s="1">
        <v>45</v>
      </c>
      <c r="H557" s="1">
        <v>3</v>
      </c>
      <c r="I557" s="1">
        <v>2020</v>
      </c>
      <c r="J557" s="1">
        <v>19</v>
      </c>
      <c r="K557" s="1" t="s">
        <v>5973</v>
      </c>
      <c r="O557" s="1" t="s">
        <v>5974</v>
      </c>
    </row>
    <row r="558" spans="1:16" ht="15.75" customHeight="1">
      <c r="A558" s="1" t="s">
        <v>0</v>
      </c>
      <c r="B558" s="1" t="s">
        <v>2564</v>
      </c>
      <c r="C558" s="1" t="s">
        <v>2565</v>
      </c>
      <c r="D558" s="1" t="s">
        <v>1864</v>
      </c>
      <c r="E558" s="1" t="s">
        <v>2566</v>
      </c>
      <c r="F558" s="1" t="s">
        <v>2567</v>
      </c>
      <c r="G558" s="1">
        <v>77</v>
      </c>
      <c r="H558" s="1">
        <v>3</v>
      </c>
      <c r="I558" s="1">
        <v>2020</v>
      </c>
      <c r="J558" s="1">
        <v>27</v>
      </c>
      <c r="K558" s="1" t="s">
        <v>61</v>
      </c>
      <c r="O558" s="1" t="s">
        <v>2568</v>
      </c>
    </row>
    <row r="559" spans="1:16" ht="15.75" customHeight="1">
      <c r="A559" s="1" t="s">
        <v>10</v>
      </c>
      <c r="B559" s="1" t="s">
        <v>5957</v>
      </c>
      <c r="C559" s="1" t="s">
        <v>5958</v>
      </c>
      <c r="D559" s="1" t="s">
        <v>5959</v>
      </c>
      <c r="E559" s="1" t="s">
        <v>5960</v>
      </c>
      <c r="F559" s="1" t="s">
        <v>5961</v>
      </c>
      <c r="H559" s="1">
        <v>3</v>
      </c>
      <c r="I559" s="1">
        <v>2020</v>
      </c>
      <c r="J559" s="1">
        <v>61</v>
      </c>
      <c r="K559" s="1">
        <v>2</v>
      </c>
      <c r="O559" s="1" t="s">
        <v>5962</v>
      </c>
    </row>
    <row r="560" spans="1:16" ht="15.75" customHeight="1">
      <c r="A560" s="1" t="s">
        <v>10</v>
      </c>
      <c r="B560" s="1" t="s">
        <v>5883</v>
      </c>
      <c r="C560" s="1" t="s">
        <v>5884</v>
      </c>
      <c r="D560" s="1" t="s">
        <v>4343</v>
      </c>
      <c r="E560" s="1" t="s">
        <v>5885</v>
      </c>
      <c r="F560" s="1" t="s">
        <v>5886</v>
      </c>
      <c r="H560" s="1">
        <v>3</v>
      </c>
      <c r="I560" s="1">
        <v>2020</v>
      </c>
      <c r="J560" s="1">
        <v>43</v>
      </c>
    </row>
    <row r="561" spans="1:16" ht="15.75" customHeight="1">
      <c r="A561" s="1" t="s">
        <v>10</v>
      </c>
      <c r="B561" s="1" t="s">
        <v>4054</v>
      </c>
      <c r="C561" s="1" t="s">
        <v>4055</v>
      </c>
      <c r="D561" s="1" t="s">
        <v>2503</v>
      </c>
      <c r="E561" s="1" t="s">
        <v>4056</v>
      </c>
      <c r="F561" s="1" t="s">
        <v>4057</v>
      </c>
      <c r="H561" s="1">
        <v>2</v>
      </c>
      <c r="I561" s="1">
        <v>2020</v>
      </c>
      <c r="J561" s="1">
        <v>25</v>
      </c>
      <c r="K561" s="1">
        <v>3</v>
      </c>
      <c r="O561" s="1" t="s">
        <v>4058</v>
      </c>
    </row>
    <row r="562" spans="1:16" ht="15.75" customHeight="1">
      <c r="A562" s="1" t="s">
        <v>10</v>
      </c>
      <c r="B562" s="1" t="s">
        <v>5663</v>
      </c>
      <c r="C562" s="1" t="s">
        <v>5664</v>
      </c>
      <c r="D562" s="1" t="s">
        <v>5665</v>
      </c>
      <c r="E562" s="1" t="s">
        <v>5666</v>
      </c>
      <c r="F562" s="1" t="s">
        <v>5667</v>
      </c>
      <c r="H562" s="1">
        <v>2</v>
      </c>
      <c r="I562" s="1">
        <v>2020</v>
      </c>
      <c r="J562" s="1">
        <v>4</v>
      </c>
      <c r="K562" s="1">
        <v>1</v>
      </c>
      <c r="O562" s="1" t="s">
        <v>5668</v>
      </c>
    </row>
    <row r="563" spans="1:16" ht="15.75" customHeight="1">
      <c r="A563" s="1" t="s">
        <v>10</v>
      </c>
      <c r="B563" s="1" t="s">
        <v>3915</v>
      </c>
      <c r="C563" s="1" t="s">
        <v>3916</v>
      </c>
      <c r="D563" s="1" t="s">
        <v>3917</v>
      </c>
      <c r="E563" s="1" t="s">
        <v>3918</v>
      </c>
      <c r="F563" s="1" t="s">
        <v>3919</v>
      </c>
      <c r="H563" s="1">
        <v>2</v>
      </c>
      <c r="I563" s="1">
        <v>2020</v>
      </c>
      <c r="K563" s="1">
        <v>64</v>
      </c>
      <c r="O563" s="1" t="s">
        <v>3920</v>
      </c>
    </row>
    <row r="564" spans="1:16" ht="15.75" customHeight="1">
      <c r="A564" s="1" t="s">
        <v>10</v>
      </c>
      <c r="B564" s="1" t="s">
        <v>3170</v>
      </c>
      <c r="C564" s="1" t="s">
        <v>3171</v>
      </c>
      <c r="D564" s="1" t="s">
        <v>1522</v>
      </c>
      <c r="E564" s="1" t="s">
        <v>3172</v>
      </c>
      <c r="F564" s="1" t="s">
        <v>3173</v>
      </c>
      <c r="H564" s="1">
        <v>2</v>
      </c>
      <c r="I564" s="1">
        <v>2020</v>
      </c>
      <c r="K564" s="1">
        <v>63</v>
      </c>
      <c r="O564" s="1" t="s">
        <v>3174</v>
      </c>
    </row>
    <row r="565" spans="1:16" ht="15.75" customHeight="1">
      <c r="A565" s="1" t="s">
        <v>10</v>
      </c>
      <c r="B565" s="1" t="s">
        <v>245</v>
      </c>
      <c r="C565" s="1" t="s">
        <v>246</v>
      </c>
      <c r="D565" s="1" t="s">
        <v>247</v>
      </c>
      <c r="E565" s="1" t="s">
        <v>248</v>
      </c>
      <c r="F565" s="1" t="s">
        <v>249</v>
      </c>
      <c r="H565" s="1">
        <v>2</v>
      </c>
      <c r="I565" s="1">
        <v>2020</v>
      </c>
      <c r="J565" s="1">
        <v>19</v>
      </c>
      <c r="K565" s="1">
        <v>1</v>
      </c>
      <c r="O565" s="1" t="s">
        <v>250</v>
      </c>
    </row>
    <row r="566" spans="1:16" ht="15.75" customHeight="1">
      <c r="A566" s="1" t="s">
        <v>10</v>
      </c>
      <c r="B566" s="1" t="s">
        <v>4523</v>
      </c>
      <c r="C566" s="1" t="s">
        <v>4524</v>
      </c>
      <c r="D566" s="1" t="s">
        <v>1880</v>
      </c>
      <c r="E566" s="1" t="s">
        <v>4525</v>
      </c>
      <c r="F566" s="1" t="s">
        <v>4526</v>
      </c>
      <c r="H566" s="1">
        <v>2</v>
      </c>
      <c r="I566" s="1">
        <v>2020</v>
      </c>
      <c r="J566" s="1">
        <v>28</v>
      </c>
      <c r="O566" s="1" t="s">
        <v>4527</v>
      </c>
    </row>
    <row r="567" spans="1:16" ht="15.75" customHeight="1">
      <c r="A567" s="1" t="s">
        <v>0</v>
      </c>
      <c r="B567" s="1" t="s">
        <v>2030</v>
      </c>
      <c r="C567" s="1" t="s">
        <v>2031</v>
      </c>
      <c r="D567" s="1" t="s">
        <v>1224</v>
      </c>
      <c r="E567" s="1" t="s">
        <v>2032</v>
      </c>
      <c r="F567" s="1" t="s">
        <v>2033</v>
      </c>
      <c r="G567" s="1">
        <v>33</v>
      </c>
      <c r="H567" s="1">
        <v>2</v>
      </c>
      <c r="I567" s="1">
        <v>2020</v>
      </c>
      <c r="J567" s="1">
        <v>93</v>
      </c>
      <c r="K567" s="1" t="s">
        <v>378</v>
      </c>
      <c r="O567" s="1" t="s">
        <v>2034</v>
      </c>
    </row>
    <row r="568" spans="1:16" ht="15.75" customHeight="1">
      <c r="A568" s="1" t="s">
        <v>0</v>
      </c>
      <c r="B568" s="1" t="s">
        <v>2656</v>
      </c>
      <c r="C568" s="1" t="s">
        <v>2657</v>
      </c>
      <c r="D568" s="1" t="s">
        <v>2658</v>
      </c>
      <c r="E568" s="1" t="s">
        <v>2659</v>
      </c>
      <c r="F568" s="1" t="s">
        <v>2660</v>
      </c>
      <c r="G568" s="1">
        <v>22</v>
      </c>
      <c r="H568" s="1">
        <v>2</v>
      </c>
      <c r="I568" s="1">
        <v>2020</v>
      </c>
      <c r="J568" s="1">
        <v>23</v>
      </c>
      <c r="K568" s="1" t="s">
        <v>1575</v>
      </c>
      <c r="O568" s="1" t="s">
        <v>2661</v>
      </c>
    </row>
    <row r="569" spans="1:16" ht="15.75" customHeight="1">
      <c r="A569" s="1" t="s">
        <v>0</v>
      </c>
      <c r="B569" s="1" t="s">
        <v>3452</v>
      </c>
      <c r="C569" s="1" t="s">
        <v>3453</v>
      </c>
      <c r="D569" s="1" t="s">
        <v>52</v>
      </c>
      <c r="E569" s="1" t="s">
        <v>3454</v>
      </c>
      <c r="F569" s="1" t="s">
        <v>3455</v>
      </c>
      <c r="G569" s="1">
        <v>39</v>
      </c>
      <c r="H569" s="1">
        <v>2</v>
      </c>
      <c r="I569" s="1">
        <v>2020</v>
      </c>
      <c r="J569" s="1">
        <v>19</v>
      </c>
      <c r="K569" s="1" t="s">
        <v>1854</v>
      </c>
      <c r="O569" s="1" t="s">
        <v>3456</v>
      </c>
    </row>
    <row r="570" spans="1:16" ht="15.75" customHeight="1">
      <c r="A570" s="1" t="s">
        <v>10</v>
      </c>
      <c r="B570" s="1" t="s">
        <v>4424</v>
      </c>
      <c r="C570" s="1" t="s">
        <v>4425</v>
      </c>
      <c r="D570" s="1" t="s">
        <v>721</v>
      </c>
      <c r="E570" s="1" t="s">
        <v>4426</v>
      </c>
      <c r="F570" s="1" t="s">
        <v>4427</v>
      </c>
      <c r="H570" s="1">
        <v>2</v>
      </c>
      <c r="I570" s="1">
        <v>2020</v>
      </c>
      <c r="J570" s="1">
        <v>28</v>
      </c>
      <c r="K570" s="1">
        <v>60</v>
      </c>
      <c r="O570" s="1" t="s">
        <v>4428</v>
      </c>
    </row>
    <row r="571" spans="1:16" ht="15.75" customHeight="1">
      <c r="A571" s="1" t="s">
        <v>0</v>
      </c>
      <c r="B571" s="1" t="s">
        <v>4248</v>
      </c>
      <c r="C571" s="1" t="s">
        <v>4249</v>
      </c>
      <c r="D571" s="1" t="s">
        <v>1146</v>
      </c>
      <c r="E571" s="1" t="s">
        <v>4250</v>
      </c>
      <c r="F571" s="1" t="s">
        <v>4251</v>
      </c>
      <c r="G571" s="1">
        <v>117</v>
      </c>
      <c r="H571" s="1">
        <v>2</v>
      </c>
      <c r="I571" s="1">
        <v>2020</v>
      </c>
      <c r="J571" s="1">
        <v>11</v>
      </c>
      <c r="K571" s="1" t="s">
        <v>6</v>
      </c>
      <c r="L571" s="1" t="s">
        <v>6</v>
      </c>
      <c r="M571" s="1" t="s">
        <v>6</v>
      </c>
      <c r="N571" s="1">
        <v>613585</v>
      </c>
      <c r="O571" s="1" t="s">
        <v>4252</v>
      </c>
      <c r="P571" s="3" t="str">
        <f>HYPERLINK("http://dx.doi.org/10.3389/fpsyg.2020.613585","http://dx.doi.org/10.3389/fpsyg.2020.613585")</f>
        <v>http://dx.doi.org/10.3389/fpsyg.2020.613585</v>
      </c>
    </row>
    <row r="572" spans="1:16" ht="15.75" customHeight="1">
      <c r="A572" s="1" t="s">
        <v>0</v>
      </c>
      <c r="B572" s="1" t="s">
        <v>2212</v>
      </c>
      <c r="C572" s="1" t="s">
        <v>2213</v>
      </c>
      <c r="D572" s="1" t="s">
        <v>2214</v>
      </c>
      <c r="E572" s="1" t="s">
        <v>2215</v>
      </c>
      <c r="F572" s="1" t="s">
        <v>2217</v>
      </c>
      <c r="G572" s="1">
        <v>41</v>
      </c>
      <c r="H572" s="1">
        <v>2</v>
      </c>
      <c r="I572" s="1">
        <v>2020</v>
      </c>
      <c r="J572" s="1">
        <v>41</v>
      </c>
      <c r="K572" s="1">
        <v>4</v>
      </c>
      <c r="L572" s="1">
        <v>405</v>
      </c>
      <c r="M572" s="1">
        <v>423</v>
      </c>
      <c r="N572" s="1" t="s">
        <v>6</v>
      </c>
      <c r="O572" s="1" t="s">
        <v>2218</v>
      </c>
      <c r="P572" s="3" t="str">
        <f>HYPERLINK("http://dx.doi.org/10.1080/07256868.2020.1779201","http://dx.doi.org/10.1080/07256868.2020.1779201")</f>
        <v>http://dx.doi.org/10.1080/07256868.2020.1779201</v>
      </c>
    </row>
    <row r="573" spans="1:16" ht="15.75" customHeight="1">
      <c r="A573" s="1" t="s">
        <v>0</v>
      </c>
      <c r="B573" s="1" t="s">
        <v>4069</v>
      </c>
      <c r="C573" s="1" t="s">
        <v>4075</v>
      </c>
      <c r="D573" s="1" t="s">
        <v>4076</v>
      </c>
      <c r="E573" s="1" t="s">
        <v>4077</v>
      </c>
      <c r="F573" s="1" t="s">
        <v>4078</v>
      </c>
      <c r="G573" s="1">
        <v>44</v>
      </c>
      <c r="H573" s="1">
        <v>2</v>
      </c>
      <c r="I573" s="1">
        <v>2020</v>
      </c>
      <c r="J573" s="1">
        <v>18</v>
      </c>
      <c r="K573" s="1">
        <v>5</v>
      </c>
      <c r="L573" s="1">
        <v>553</v>
      </c>
      <c r="M573" s="1">
        <v>563</v>
      </c>
      <c r="N573" s="1" t="s">
        <v>6</v>
      </c>
      <c r="O573" s="1" t="s">
        <v>4079</v>
      </c>
      <c r="P573" s="3" t="str">
        <f>HYPERLINK("http://dx.doi.org/10.1080/14767724.2020.1793115","http://dx.doi.org/10.1080/14767724.2020.1793115")</f>
        <v>http://dx.doi.org/10.1080/14767724.2020.1793115</v>
      </c>
    </row>
    <row r="574" spans="1:16" ht="15.75" customHeight="1">
      <c r="A574" s="1" t="s">
        <v>0</v>
      </c>
      <c r="B574" s="1" t="s">
        <v>1849</v>
      </c>
      <c r="C574" s="1" t="s">
        <v>1850</v>
      </c>
      <c r="D574" s="2" t="s">
        <v>1851</v>
      </c>
      <c r="E574" s="1" t="s">
        <v>1852</v>
      </c>
      <c r="F574" s="1" t="s">
        <v>1853</v>
      </c>
      <c r="G574" s="1">
        <v>45</v>
      </c>
      <c r="H574" s="1">
        <v>2</v>
      </c>
      <c r="I574" s="1">
        <v>2020</v>
      </c>
      <c r="J574" s="1">
        <v>22</v>
      </c>
      <c r="K574" s="1" t="s">
        <v>1854</v>
      </c>
      <c r="O574" s="1" t="s">
        <v>1855</v>
      </c>
    </row>
    <row r="575" spans="1:16" ht="15.75" customHeight="1">
      <c r="A575" s="1" t="s">
        <v>0</v>
      </c>
      <c r="B575" s="1" t="s">
        <v>1397</v>
      </c>
      <c r="C575" s="1" t="s">
        <v>1398</v>
      </c>
      <c r="D575" s="1" t="s">
        <v>1399</v>
      </c>
      <c r="E575" s="1" t="s">
        <v>1400</v>
      </c>
      <c r="F575" s="1" t="s">
        <v>1401</v>
      </c>
      <c r="G575" s="1">
        <v>34</v>
      </c>
      <c r="H575" s="1">
        <v>2</v>
      </c>
      <c r="I575" s="1">
        <v>2020</v>
      </c>
      <c r="J575" s="1">
        <v>64</v>
      </c>
      <c r="K575" s="1">
        <v>3</v>
      </c>
      <c r="L575" s="1">
        <v>305</v>
      </c>
      <c r="M575" s="1">
        <v>333</v>
      </c>
      <c r="N575" s="1" t="s">
        <v>6</v>
      </c>
      <c r="O575" s="1" t="s">
        <v>6</v>
      </c>
      <c r="P575" s="1" t="s">
        <v>6</v>
      </c>
    </row>
    <row r="576" spans="1:16" ht="15.75" customHeight="1">
      <c r="A576" s="1" t="s">
        <v>0</v>
      </c>
      <c r="B576" s="1" t="s">
        <v>2108</v>
      </c>
      <c r="C576" s="1" t="s">
        <v>2109</v>
      </c>
      <c r="D576" s="1" t="s">
        <v>2110</v>
      </c>
      <c r="E576" s="1" t="s">
        <v>2111</v>
      </c>
      <c r="F576" s="1" t="s">
        <v>2112</v>
      </c>
      <c r="G576" s="1">
        <v>74</v>
      </c>
      <c r="H576" s="1">
        <v>2</v>
      </c>
      <c r="I576" s="1">
        <v>2020</v>
      </c>
      <c r="J576" s="1">
        <v>31</v>
      </c>
      <c r="K576" s="1">
        <v>2</v>
      </c>
      <c r="L576" s="1">
        <v>767</v>
      </c>
      <c r="M576" s="1">
        <v>790</v>
      </c>
      <c r="N576" s="1" t="s">
        <v>6</v>
      </c>
      <c r="O576" s="1" t="s">
        <v>2113</v>
      </c>
      <c r="P576" s="3" t="str">
        <f>HYPERLINK("http://dx.doi.org/10.1353/hpu.2020.0060","http://dx.doi.org/10.1353/hpu.2020.0060")</f>
        <v>http://dx.doi.org/10.1353/hpu.2020.0060</v>
      </c>
    </row>
    <row r="577" spans="1:16" ht="15.75" customHeight="1">
      <c r="A577" s="1" t="s">
        <v>0</v>
      </c>
      <c r="B577" s="1" t="s">
        <v>4063</v>
      </c>
      <c r="C577" s="1" t="s">
        <v>4064</v>
      </c>
      <c r="D577" s="1" t="s">
        <v>4065</v>
      </c>
      <c r="E577" s="1" t="s">
        <v>4066</v>
      </c>
      <c r="F577" s="1" t="s">
        <v>4067</v>
      </c>
      <c r="G577" s="1">
        <v>45</v>
      </c>
      <c r="H577" s="1">
        <v>1</v>
      </c>
      <c r="I577" s="1">
        <v>2020</v>
      </c>
      <c r="J577" s="1">
        <v>29</v>
      </c>
      <c r="K577" s="1" t="s">
        <v>61</v>
      </c>
      <c r="O577" s="1" t="s">
        <v>4068</v>
      </c>
    </row>
    <row r="578" spans="1:16" ht="15.75" customHeight="1">
      <c r="A578" s="1" t="s">
        <v>0</v>
      </c>
      <c r="B578" s="1" t="s">
        <v>2554</v>
      </c>
      <c r="C578" s="1" t="s">
        <v>2555</v>
      </c>
      <c r="D578" s="1" t="s">
        <v>2339</v>
      </c>
      <c r="E578" s="1" t="s">
        <v>2556</v>
      </c>
      <c r="F578" s="1" t="s">
        <v>2557</v>
      </c>
      <c r="G578" s="1">
        <v>18</v>
      </c>
      <c r="H578" s="1">
        <v>1</v>
      </c>
      <c r="I578" s="1">
        <v>2020</v>
      </c>
      <c r="K578" s="1" t="s">
        <v>2558</v>
      </c>
    </row>
    <row r="579" spans="1:16" ht="15.75" customHeight="1">
      <c r="A579" s="1" t="s">
        <v>463</v>
      </c>
      <c r="B579" s="1" t="s">
        <v>4765</v>
      </c>
      <c r="C579" s="1" t="s">
        <v>4766</v>
      </c>
      <c r="D579" s="1" t="s">
        <v>4767</v>
      </c>
      <c r="E579" s="1" t="s">
        <v>4768</v>
      </c>
      <c r="F579" s="1" t="s">
        <v>4769</v>
      </c>
      <c r="H579" s="1">
        <v>1</v>
      </c>
      <c r="I579" s="1">
        <v>2020</v>
      </c>
      <c r="O579" s="1" t="s">
        <v>4770</v>
      </c>
    </row>
    <row r="580" spans="1:16" ht="15.75" customHeight="1">
      <c r="A580" s="1" t="s">
        <v>10</v>
      </c>
      <c r="B580" s="1" t="s">
        <v>5772</v>
      </c>
      <c r="C580" s="1" t="s">
        <v>5773</v>
      </c>
      <c r="D580" s="1" t="s">
        <v>1522</v>
      </c>
      <c r="E580" s="1" t="s">
        <v>5774</v>
      </c>
      <c r="F580" s="1" t="s">
        <v>5775</v>
      </c>
      <c r="H580" s="1">
        <v>1</v>
      </c>
      <c r="I580" s="1">
        <v>2020</v>
      </c>
      <c r="K580" s="1">
        <v>62</v>
      </c>
      <c r="O580" s="1" t="s">
        <v>5776</v>
      </c>
    </row>
    <row r="581" spans="1:16" ht="15.75" customHeight="1">
      <c r="A581" s="1" t="s">
        <v>463</v>
      </c>
      <c r="B581" s="1" t="s">
        <v>6462</v>
      </c>
      <c r="C581" s="1" t="s">
        <v>6463</v>
      </c>
      <c r="D581" s="1" t="s">
        <v>6464</v>
      </c>
      <c r="E581" s="1" t="s">
        <v>6465</v>
      </c>
      <c r="F581" s="1" t="s">
        <v>6466</v>
      </c>
      <c r="H581" s="1">
        <v>1</v>
      </c>
      <c r="I581" s="1">
        <v>2020</v>
      </c>
      <c r="O581" s="1" t="s">
        <v>6467</v>
      </c>
    </row>
    <row r="582" spans="1:16" ht="15.75" customHeight="1">
      <c r="A582" s="1" t="s">
        <v>10</v>
      </c>
      <c r="B582" s="1" t="s">
        <v>1200</v>
      </c>
      <c r="C582" s="1" t="s">
        <v>1201</v>
      </c>
      <c r="D582" s="1" t="s">
        <v>1202</v>
      </c>
      <c r="E582" s="1" t="s">
        <v>1203</v>
      </c>
      <c r="F582" s="1" t="s">
        <v>1204</v>
      </c>
      <c r="H582" s="1">
        <v>1</v>
      </c>
      <c r="I582" s="1">
        <v>2020</v>
      </c>
      <c r="J582" s="1">
        <v>23</v>
      </c>
      <c r="K582" s="1">
        <v>4</v>
      </c>
      <c r="O582" s="1" t="s">
        <v>1205</v>
      </c>
    </row>
    <row r="583" spans="1:16" ht="15.75" customHeight="1">
      <c r="A583" s="1" t="s">
        <v>10</v>
      </c>
      <c r="B583" s="1" t="s">
        <v>3694</v>
      </c>
      <c r="C583" s="1" t="s">
        <v>3695</v>
      </c>
      <c r="D583" s="1" t="s">
        <v>3696</v>
      </c>
      <c r="E583" s="1" t="s">
        <v>3697</v>
      </c>
      <c r="F583" s="1" t="s">
        <v>3698</v>
      </c>
      <c r="H583" s="1">
        <v>1</v>
      </c>
      <c r="I583" s="1">
        <v>2020</v>
      </c>
      <c r="J583" s="1">
        <v>7</v>
      </c>
      <c r="K583" s="1">
        <v>1</v>
      </c>
      <c r="O583" s="1" t="s">
        <v>3699</v>
      </c>
    </row>
    <row r="584" spans="1:16" ht="15.75" customHeight="1">
      <c r="A584" s="1" t="s">
        <v>10</v>
      </c>
      <c r="B584" s="1" t="s">
        <v>5047</v>
      </c>
      <c r="C584" s="1" t="s">
        <v>5048</v>
      </c>
      <c r="D584" s="1" t="s">
        <v>5049</v>
      </c>
      <c r="E584" s="1" t="s">
        <v>5050</v>
      </c>
      <c r="F584" s="1" t="s">
        <v>5051</v>
      </c>
      <c r="H584" s="1">
        <v>1</v>
      </c>
      <c r="I584" s="1">
        <v>2020</v>
      </c>
      <c r="K584" s="1">
        <v>16</v>
      </c>
      <c r="O584" s="1" t="s">
        <v>5052</v>
      </c>
    </row>
    <row r="585" spans="1:16" ht="15.75" customHeight="1">
      <c r="A585" s="1" t="s">
        <v>10</v>
      </c>
      <c r="B585" s="1" t="s">
        <v>5999</v>
      </c>
      <c r="C585" s="1" t="s">
        <v>6000</v>
      </c>
      <c r="D585" s="1" t="s">
        <v>3899</v>
      </c>
      <c r="E585" s="1" t="s">
        <v>6001</v>
      </c>
      <c r="F585" s="1" t="s">
        <v>6002</v>
      </c>
      <c r="H585" s="1">
        <v>1</v>
      </c>
      <c r="I585" s="1">
        <v>2020</v>
      </c>
      <c r="J585" s="1">
        <v>11</v>
      </c>
      <c r="O585" s="1" t="s">
        <v>6003</v>
      </c>
    </row>
    <row r="586" spans="1:16" ht="15.75" customHeight="1">
      <c r="A586" s="1" t="s">
        <v>10</v>
      </c>
      <c r="B586" s="1" t="s">
        <v>4012</v>
      </c>
      <c r="C586" s="1" t="s">
        <v>4013</v>
      </c>
      <c r="D586" s="1" t="s">
        <v>4014</v>
      </c>
      <c r="E586" s="1" t="s">
        <v>4015</v>
      </c>
      <c r="F586" s="1" t="s">
        <v>4016</v>
      </c>
      <c r="H586" s="1">
        <v>1</v>
      </c>
      <c r="I586" s="1">
        <v>2020</v>
      </c>
      <c r="J586" s="1">
        <v>43</v>
      </c>
      <c r="K586" s="1">
        <v>1</v>
      </c>
      <c r="O586" s="1" t="s">
        <v>4017</v>
      </c>
    </row>
    <row r="587" spans="1:16" ht="15.75" customHeight="1">
      <c r="A587" s="1" t="s">
        <v>0</v>
      </c>
      <c r="B587" s="1" t="s">
        <v>1183</v>
      </c>
      <c r="C587" s="1" t="s">
        <v>1184</v>
      </c>
      <c r="D587" s="1" t="s">
        <v>1185</v>
      </c>
      <c r="E587" s="1" t="s">
        <v>1186</v>
      </c>
      <c r="F587" s="1" t="s">
        <v>1187</v>
      </c>
      <c r="G587" s="1">
        <v>41</v>
      </c>
      <c r="H587" s="1">
        <v>1</v>
      </c>
      <c r="I587" s="1">
        <v>2020</v>
      </c>
      <c r="J587" s="1">
        <v>42</v>
      </c>
      <c r="K587" s="1" t="s">
        <v>6</v>
      </c>
      <c r="L587" s="1">
        <v>52</v>
      </c>
      <c r="M587" s="1">
        <v>71</v>
      </c>
      <c r="N587" s="1" t="s">
        <v>6</v>
      </c>
      <c r="O587" s="1" t="s">
        <v>1188</v>
      </c>
      <c r="P587" s="3" t="str">
        <f>HYPERLINK("http://dx.doi.org/10.5354/0717-5051.2020.54281","http://dx.doi.org/10.5354/0717-5051.2020.54281")</f>
        <v>http://dx.doi.org/10.5354/0717-5051.2020.54281</v>
      </c>
    </row>
    <row r="588" spans="1:16" ht="15.75" customHeight="1">
      <c r="A588" s="1" t="s">
        <v>0</v>
      </c>
      <c r="B588" s="1" t="s">
        <v>6160</v>
      </c>
      <c r="C588" s="1" t="s">
        <v>6161</v>
      </c>
      <c r="D588" s="1" t="s">
        <v>58</v>
      </c>
      <c r="E588" s="1" t="s">
        <v>6162</v>
      </c>
      <c r="F588" s="1" t="s">
        <v>6163</v>
      </c>
      <c r="G588" s="1">
        <v>42</v>
      </c>
      <c r="H588" s="1">
        <v>1</v>
      </c>
      <c r="I588" s="1">
        <v>2020</v>
      </c>
      <c r="J588" s="1">
        <v>20</v>
      </c>
      <c r="K588" s="1">
        <v>1</v>
      </c>
      <c r="L588" s="1">
        <v>176</v>
      </c>
      <c r="M588" s="1">
        <v>201</v>
      </c>
      <c r="N588" s="1" t="s">
        <v>6</v>
      </c>
      <c r="O588" s="1" t="s">
        <v>6164</v>
      </c>
      <c r="P588" s="3" t="str">
        <f>HYPERLINK("http://dx.doi.org/10.4067/S0719-09482020000100176","http://dx.doi.org/10.4067/S0719-09482020000100176")</f>
        <v>http://dx.doi.org/10.4067/S0719-09482020000100176</v>
      </c>
    </row>
    <row r="589" spans="1:16" ht="15.75" customHeight="1">
      <c r="A589" s="1" t="s">
        <v>0</v>
      </c>
      <c r="B589" s="1" t="s">
        <v>3782</v>
      </c>
      <c r="C589" s="1" t="s">
        <v>3783</v>
      </c>
      <c r="D589" s="1" t="s">
        <v>2910</v>
      </c>
      <c r="E589" s="1" t="s">
        <v>3784</v>
      </c>
      <c r="F589" s="1" t="s">
        <v>3785</v>
      </c>
      <c r="G589" s="1">
        <v>50</v>
      </c>
      <c r="H589" s="1">
        <v>1</v>
      </c>
      <c r="I589" s="1">
        <v>2020</v>
      </c>
      <c r="J589" s="1">
        <v>21</v>
      </c>
      <c r="K589" s="1" t="s">
        <v>6</v>
      </c>
      <c r="L589" s="1" t="s">
        <v>6</v>
      </c>
      <c r="M589" s="1" t="s">
        <v>6</v>
      </c>
      <c r="N589" s="1" t="s">
        <v>3786</v>
      </c>
      <c r="O589" s="1" t="s">
        <v>3787</v>
      </c>
      <c r="P589" s="3" t="str">
        <f>HYPERLINK("http://dx.doi.org/10.21670/ref.2003045","http://dx.doi.org/10.21670/ref.2003045")</f>
        <v>http://dx.doi.org/10.21670/ref.2003045</v>
      </c>
    </row>
    <row r="590" spans="1:16" ht="15.75" customHeight="1">
      <c r="A590" s="1" t="s">
        <v>0</v>
      </c>
      <c r="B590" s="1" t="s">
        <v>351</v>
      </c>
      <c r="C590" s="1" t="s">
        <v>352</v>
      </c>
      <c r="D590" s="1" t="s">
        <v>353</v>
      </c>
      <c r="E590" s="1" t="s">
        <v>354</v>
      </c>
      <c r="F590" s="1" t="s">
        <v>355</v>
      </c>
      <c r="G590" s="1">
        <v>69</v>
      </c>
      <c r="H590" s="1">
        <v>1</v>
      </c>
      <c r="I590" s="1">
        <v>2020</v>
      </c>
      <c r="J590" s="1">
        <v>77</v>
      </c>
      <c r="K590" s="1">
        <v>169</v>
      </c>
      <c r="L590" s="1">
        <v>323</v>
      </c>
      <c r="M590" s="1">
        <v>348</v>
      </c>
      <c r="N590" s="1" t="s">
        <v>6</v>
      </c>
      <c r="O590" s="1" t="s">
        <v>356</v>
      </c>
      <c r="P590" s="3" t="str">
        <f>HYPERLINK("http://dx.doi.org/10.17533/udea.esde.v77n169a13","http://dx.doi.org/10.17533/udea.esde.v77n169a13")</f>
        <v>http://dx.doi.org/10.17533/udea.esde.v77n169a13</v>
      </c>
    </row>
    <row r="591" spans="1:16" ht="15.75" customHeight="1">
      <c r="A591" s="1" t="s">
        <v>0</v>
      </c>
      <c r="B591" s="1" t="s">
        <v>5153</v>
      </c>
      <c r="C591" s="1" t="s">
        <v>5154</v>
      </c>
      <c r="D591" s="1" t="s">
        <v>3839</v>
      </c>
      <c r="E591" s="1" t="s">
        <v>5155</v>
      </c>
      <c r="F591" s="1" t="s">
        <v>5156</v>
      </c>
      <c r="G591" s="1">
        <v>50</v>
      </c>
      <c r="H591" s="1">
        <v>1</v>
      </c>
      <c r="I591" s="1">
        <v>2020</v>
      </c>
      <c r="J591" s="1" t="s">
        <v>6</v>
      </c>
      <c r="K591" s="1">
        <v>14</v>
      </c>
      <c r="L591" s="1">
        <v>49</v>
      </c>
      <c r="M591" s="1">
        <v>70</v>
      </c>
      <c r="N591" s="1" t="s">
        <v>6</v>
      </c>
      <c r="O591" s="1" t="s">
        <v>5157</v>
      </c>
      <c r="P591" s="3" t="str">
        <f>HYPERLINK("http://dx.doi.org/10.5354/0719-0417.2021.60866","http://dx.doi.org/10.5354/0719-0417.2021.60866")</f>
        <v>http://dx.doi.org/10.5354/0719-0417.2021.60866</v>
      </c>
    </row>
    <row r="592" spans="1:16" ht="15.75" customHeight="1">
      <c r="A592" s="1" t="s">
        <v>10</v>
      </c>
      <c r="B592" s="1" t="s">
        <v>2269</v>
      </c>
      <c r="C592" s="1" t="s">
        <v>2270</v>
      </c>
      <c r="D592" s="1" t="s">
        <v>2271</v>
      </c>
      <c r="E592" s="1" t="s">
        <v>2272</v>
      </c>
      <c r="F592" s="1" t="s">
        <v>2273</v>
      </c>
      <c r="H592" s="1">
        <v>1</v>
      </c>
      <c r="I592" s="1">
        <v>2020</v>
      </c>
      <c r="J592" s="1">
        <v>48</v>
      </c>
      <c r="K592" s="1">
        <v>5</v>
      </c>
      <c r="O592" s="1" t="s">
        <v>2274</v>
      </c>
    </row>
    <row r="593" spans="1:16" ht="15.75" customHeight="1">
      <c r="A593" s="1" t="s">
        <v>0</v>
      </c>
      <c r="B593" s="1" t="s">
        <v>3229</v>
      </c>
      <c r="C593" s="1" t="s">
        <v>3230</v>
      </c>
      <c r="D593" s="1" t="s">
        <v>3231</v>
      </c>
      <c r="E593" s="1" t="s">
        <v>3232</v>
      </c>
      <c r="F593" s="1" t="s">
        <v>3233</v>
      </c>
      <c r="G593" s="1">
        <v>26</v>
      </c>
      <c r="H593" s="1">
        <v>1</v>
      </c>
      <c r="I593" s="1">
        <v>2020</v>
      </c>
      <c r="J593" s="1">
        <v>7</v>
      </c>
      <c r="K593" s="1">
        <v>1</v>
      </c>
      <c r="L593" s="1">
        <v>61</v>
      </c>
      <c r="M593" s="1">
        <v>84</v>
      </c>
      <c r="N593" s="1" t="s">
        <v>3234</v>
      </c>
      <c r="O593" s="1" t="s">
        <v>3235</v>
      </c>
      <c r="P593" s="3" t="str">
        <f>HYPERLINK("http://dx.doi.org/10.1017/als.2019.25","http://dx.doi.org/10.1017/als.2019.25")</f>
        <v>http://dx.doi.org/10.1017/als.2019.25</v>
      </c>
    </row>
    <row r="594" spans="1:16" ht="15.75" customHeight="1">
      <c r="A594" s="1" t="s">
        <v>0</v>
      </c>
      <c r="B594" s="1" t="s">
        <v>6412</v>
      </c>
      <c r="C594" s="1" t="s">
        <v>6413</v>
      </c>
      <c r="D594" s="1" t="s">
        <v>1967</v>
      </c>
      <c r="E594" s="1" t="s">
        <v>6414</v>
      </c>
      <c r="F594" s="1" t="s">
        <v>6415</v>
      </c>
      <c r="G594" s="1">
        <v>82</v>
      </c>
      <c r="H594" s="1">
        <v>1</v>
      </c>
      <c r="I594" s="1">
        <v>2020</v>
      </c>
      <c r="J594" s="1">
        <v>28</v>
      </c>
      <c r="K594" s="1">
        <v>55</v>
      </c>
      <c r="L594" s="1">
        <v>171</v>
      </c>
      <c r="M594" s="1">
        <v>201</v>
      </c>
      <c r="N594" s="1" t="s">
        <v>6</v>
      </c>
      <c r="O594" s="1" t="s">
        <v>6416</v>
      </c>
      <c r="P594" s="3" t="str">
        <f>HYPERLINK("http://dx.doi.org/10.18504/pl2855-007-2020","http://dx.doi.org/10.18504/pl2855-007-2020")</f>
        <v>http://dx.doi.org/10.18504/pl2855-007-2020</v>
      </c>
    </row>
    <row r="595" spans="1:16" ht="15.75" customHeight="1">
      <c r="A595" s="1" t="s">
        <v>0</v>
      </c>
      <c r="B595" s="1" t="s">
        <v>6845</v>
      </c>
      <c r="C595" s="1" t="s">
        <v>6846</v>
      </c>
      <c r="D595" s="1" t="s">
        <v>6847</v>
      </c>
      <c r="E595" s="1" t="s">
        <v>6848</v>
      </c>
      <c r="F595" s="1" t="s">
        <v>6849</v>
      </c>
      <c r="G595" s="1">
        <v>50</v>
      </c>
      <c r="H595" s="1">
        <v>1</v>
      </c>
      <c r="I595" s="1">
        <v>2020</v>
      </c>
      <c r="J595" s="1">
        <v>26</v>
      </c>
      <c r="K595" s="1" t="s">
        <v>6</v>
      </c>
      <c r="L595" s="1" t="s">
        <v>6</v>
      </c>
      <c r="M595" s="1" t="s">
        <v>6</v>
      </c>
      <c r="N595" s="1" t="s">
        <v>6850</v>
      </c>
      <c r="O595" s="1" t="s">
        <v>6851</v>
      </c>
      <c r="P595" s="3" t="str">
        <f>HYPERLINK("http://dx.doi.org/10.26512/lc.v26.2020.36298","http://dx.doi.org/10.26512/lc.v26.2020.36298")</f>
        <v>http://dx.doi.org/10.26512/lc.v26.2020.36298</v>
      </c>
    </row>
    <row r="596" spans="1:16" ht="15.75" customHeight="1">
      <c r="A596" s="1" t="s">
        <v>0</v>
      </c>
      <c r="B596" s="1" t="s">
        <v>3788</v>
      </c>
      <c r="C596" s="1" t="s">
        <v>3789</v>
      </c>
      <c r="D596" s="1" t="s">
        <v>1009</v>
      </c>
      <c r="E596" s="1" t="s">
        <v>3790</v>
      </c>
      <c r="F596" s="1" t="s">
        <v>3791</v>
      </c>
      <c r="G596" s="1">
        <v>128</v>
      </c>
      <c r="H596" s="1">
        <v>1</v>
      </c>
      <c r="I596" s="1">
        <v>2020</v>
      </c>
      <c r="J596" s="1">
        <v>26</v>
      </c>
      <c r="K596" s="1">
        <v>106</v>
      </c>
      <c r="L596" s="1">
        <v>183</v>
      </c>
      <c r="M596" s="1">
        <v>220</v>
      </c>
      <c r="N596" s="1" t="s">
        <v>6</v>
      </c>
      <c r="O596" s="1" t="s">
        <v>3792</v>
      </c>
      <c r="P596" s="3" t="str">
        <f>HYPERLINK("http://dx.doi.org/10.22185/24487147.2020.106.36","http://dx.doi.org/10.22185/24487147.2020.106.36")</f>
        <v>http://dx.doi.org/10.22185/24487147.2020.106.36</v>
      </c>
    </row>
    <row r="597" spans="1:16" ht="15.75" customHeight="1">
      <c r="A597" s="1" t="s">
        <v>0</v>
      </c>
      <c r="B597" s="1" t="s">
        <v>6810</v>
      </c>
      <c r="C597" s="1" t="s">
        <v>6811</v>
      </c>
      <c r="D597" s="1" t="s">
        <v>6812</v>
      </c>
      <c r="E597" s="1" t="s">
        <v>6813</v>
      </c>
      <c r="F597" s="1" t="s">
        <v>6814</v>
      </c>
      <c r="G597" s="1">
        <v>33</v>
      </c>
      <c r="H597" s="1">
        <v>1</v>
      </c>
      <c r="I597" s="1">
        <v>2020</v>
      </c>
      <c r="J597" s="1" t="s">
        <v>6</v>
      </c>
      <c r="K597" s="1">
        <v>35</v>
      </c>
      <c r="L597" s="1">
        <v>141</v>
      </c>
      <c r="M597" s="1">
        <v>154</v>
      </c>
      <c r="N597" s="1" t="s">
        <v>6</v>
      </c>
      <c r="O597" s="1" t="s">
        <v>6815</v>
      </c>
      <c r="P597" s="3" t="str">
        <f>HYPERLINK("http://dx.doi.org/10.5944/reec.35.2020.25107","http://dx.doi.org/10.5944/reec.35.2020.25107")</f>
        <v>http://dx.doi.org/10.5944/reec.35.2020.25107</v>
      </c>
    </row>
    <row r="598" spans="1:16" ht="15.75" customHeight="1">
      <c r="A598" s="1" t="s">
        <v>0</v>
      </c>
      <c r="B598" s="1" t="s">
        <v>3663</v>
      </c>
      <c r="C598" s="2" t="s">
        <v>3664</v>
      </c>
      <c r="D598" s="1" t="s">
        <v>58</v>
      </c>
      <c r="E598" s="1" t="s">
        <v>3665</v>
      </c>
      <c r="F598" s="1" t="s">
        <v>3666</v>
      </c>
      <c r="G598" s="1">
        <v>43</v>
      </c>
      <c r="H598" s="1">
        <v>1</v>
      </c>
      <c r="I598" s="1">
        <v>2020</v>
      </c>
      <c r="J598" s="1">
        <v>20</v>
      </c>
      <c r="K598" s="1">
        <v>1</v>
      </c>
      <c r="L598" s="1">
        <v>78</v>
      </c>
      <c r="M598" s="1">
        <v>102</v>
      </c>
      <c r="N598" s="1" t="s">
        <v>6</v>
      </c>
      <c r="O598" s="1" t="s">
        <v>3667</v>
      </c>
      <c r="P598" s="3" t="str">
        <f>HYPERLINK("http://dx.doi.org/10.4067/S0719-09482020000100078","http://dx.doi.org/10.4067/S0719-09482020000100078")</f>
        <v>http://dx.doi.org/10.4067/S0719-09482020000100078</v>
      </c>
    </row>
    <row r="599" spans="1:16" ht="15.75" customHeight="1">
      <c r="A599" s="1" t="s">
        <v>0</v>
      </c>
      <c r="B599" s="1" t="s">
        <v>5516</v>
      </c>
      <c r="C599" s="1" t="s">
        <v>5517</v>
      </c>
      <c r="D599" s="1" t="s">
        <v>1874</v>
      </c>
      <c r="E599" s="1" t="s">
        <v>5518</v>
      </c>
      <c r="F599" s="1" t="s">
        <v>5519</v>
      </c>
      <c r="G599" s="1">
        <v>53</v>
      </c>
      <c r="H599" s="1">
        <v>1</v>
      </c>
      <c r="I599" s="1">
        <v>2020</v>
      </c>
      <c r="J599" s="1">
        <v>50</v>
      </c>
      <c r="K599" s="1" t="s">
        <v>6</v>
      </c>
      <c r="L599" s="1">
        <v>29</v>
      </c>
      <c r="M599" s="1">
        <v>58</v>
      </c>
      <c r="N599" s="1" t="s">
        <v>6</v>
      </c>
      <c r="O599" s="1" t="s">
        <v>5520</v>
      </c>
      <c r="P599" s="3" t="str">
        <f>HYPERLINK("http://dx.doi.org/10.14422/mig.i50.y2020.002","http://dx.doi.org/10.14422/mig.i50.y2020.002")</f>
        <v>http://dx.doi.org/10.14422/mig.i50.y2020.002</v>
      </c>
    </row>
    <row r="600" spans="1:16" ht="15.75" customHeight="1">
      <c r="A600" s="1" t="s">
        <v>0</v>
      </c>
      <c r="B600" s="1" t="s">
        <v>6286</v>
      </c>
      <c r="C600" s="1" t="s">
        <v>6287</v>
      </c>
      <c r="D600" s="1" t="s">
        <v>154</v>
      </c>
      <c r="E600" s="1" t="s">
        <v>6288</v>
      </c>
      <c r="F600" s="1" t="s">
        <v>6289</v>
      </c>
      <c r="G600" s="1">
        <v>43</v>
      </c>
      <c r="H600" s="1">
        <v>1</v>
      </c>
      <c r="I600" s="1">
        <v>2020</v>
      </c>
      <c r="J600" s="1">
        <v>35</v>
      </c>
      <c r="K600" s="1">
        <v>1</v>
      </c>
      <c r="L600" s="1">
        <v>388</v>
      </c>
      <c r="M600" s="1">
        <v>419</v>
      </c>
      <c r="N600" s="1" t="s">
        <v>6</v>
      </c>
      <c r="O600" s="1" t="s">
        <v>6</v>
      </c>
      <c r="P600" s="1" t="s">
        <v>6</v>
      </c>
    </row>
    <row r="601" spans="1:16" ht="15.75" customHeight="1">
      <c r="A601" s="1" t="s">
        <v>0</v>
      </c>
      <c r="B601" s="1" t="s">
        <v>3516</v>
      </c>
      <c r="C601" s="1" t="s">
        <v>3517</v>
      </c>
      <c r="D601" s="1" t="s">
        <v>1325</v>
      </c>
      <c r="E601" s="1" t="s">
        <v>3518</v>
      </c>
      <c r="F601" s="1" t="s">
        <v>3519</v>
      </c>
      <c r="G601" s="1">
        <v>26</v>
      </c>
      <c r="H601" s="1">
        <v>1</v>
      </c>
      <c r="I601" s="1">
        <v>2020</v>
      </c>
      <c r="J601" s="1">
        <v>21</v>
      </c>
      <c r="K601" s="1">
        <v>4</v>
      </c>
      <c r="L601" s="1">
        <v>1115</v>
      </c>
      <c r="M601" s="1">
        <v>1130</v>
      </c>
      <c r="N601" s="1" t="s">
        <v>6</v>
      </c>
      <c r="O601" s="1" t="s">
        <v>3520</v>
      </c>
      <c r="P601" s="3" t="str">
        <f>HYPERLINK("http://dx.doi.org/10.1007/s12134-019-00696-7","http://dx.doi.org/10.1007/s12134-019-00696-7")</f>
        <v>http://dx.doi.org/10.1007/s12134-019-00696-7</v>
      </c>
    </row>
    <row r="602" spans="1:16" ht="15.75" customHeight="1">
      <c r="A602" s="1" t="s">
        <v>0</v>
      </c>
      <c r="B602" s="1" t="s">
        <v>5858</v>
      </c>
      <c r="C602" s="1" t="s">
        <v>5859</v>
      </c>
      <c r="D602" s="1" t="s">
        <v>1264</v>
      </c>
      <c r="E602" s="1" t="s">
        <v>5860</v>
      </c>
      <c r="F602" s="1" t="s">
        <v>5861</v>
      </c>
      <c r="G602" s="1">
        <v>34</v>
      </c>
      <c r="H602" s="1">
        <v>1</v>
      </c>
      <c r="I602" s="1">
        <v>2020</v>
      </c>
      <c r="J602" s="1">
        <v>10</v>
      </c>
      <c r="K602" s="1">
        <v>2</v>
      </c>
      <c r="L602" s="1">
        <v>51</v>
      </c>
      <c r="M602" s="1">
        <v>77</v>
      </c>
      <c r="N602" s="1" t="s">
        <v>6</v>
      </c>
      <c r="O602" s="1" t="s">
        <v>6</v>
      </c>
      <c r="P602" s="1" t="s">
        <v>6</v>
      </c>
    </row>
    <row r="603" spans="1:16" ht="15.75" customHeight="1">
      <c r="A603" s="1" t="s">
        <v>0</v>
      </c>
      <c r="B603" s="1" t="s">
        <v>5601</v>
      </c>
      <c r="C603" s="1" t="s">
        <v>5602</v>
      </c>
      <c r="D603" s="1" t="s">
        <v>2400</v>
      </c>
      <c r="E603" s="1" t="s">
        <v>5603</v>
      </c>
      <c r="F603" s="1" t="s">
        <v>5604</v>
      </c>
      <c r="G603" s="1">
        <v>24</v>
      </c>
      <c r="H603" s="1">
        <v>1</v>
      </c>
      <c r="I603" s="1">
        <v>2020</v>
      </c>
      <c r="J603" s="1">
        <v>59</v>
      </c>
      <c r="K603" s="1">
        <v>3</v>
      </c>
      <c r="L603" s="1">
        <v>14</v>
      </c>
      <c r="M603" s="1">
        <v>36</v>
      </c>
      <c r="N603" s="1" t="s">
        <v>6</v>
      </c>
      <c r="O603" s="1" t="s">
        <v>5605</v>
      </c>
      <c r="P603" s="3" t="str">
        <f>HYPERLINK("http://dx.doi.org/10.30827/cuadgeo.v59i3.9177","http://dx.doi.org/10.30827/cuadgeo.v59i3.9177")</f>
        <v>http://dx.doi.org/10.30827/cuadgeo.v59i3.9177</v>
      </c>
    </row>
    <row r="604" spans="1:16" ht="15.75" customHeight="1">
      <c r="A604" s="1" t="s">
        <v>10</v>
      </c>
      <c r="B604" s="1" t="s">
        <v>5446</v>
      </c>
      <c r="C604" s="1" t="s">
        <v>5447</v>
      </c>
      <c r="D604" s="1" t="s">
        <v>5448</v>
      </c>
      <c r="E604" s="1" t="s">
        <v>5449</v>
      </c>
      <c r="F604" s="1" t="s">
        <v>5450</v>
      </c>
      <c r="H604" s="1">
        <v>0</v>
      </c>
      <c r="I604" s="1">
        <v>2020</v>
      </c>
      <c r="J604" s="1">
        <v>8</v>
      </c>
      <c r="K604" s="1">
        <v>2</v>
      </c>
      <c r="O604" s="1" t="s">
        <v>5451</v>
      </c>
    </row>
    <row r="605" spans="1:16" ht="15.75" customHeight="1">
      <c r="A605" s="1" t="s">
        <v>10</v>
      </c>
      <c r="B605" s="1" t="s">
        <v>3134</v>
      </c>
      <c r="C605" s="1" t="s">
        <v>3135</v>
      </c>
      <c r="D605" s="1" t="s">
        <v>1290</v>
      </c>
      <c r="E605" s="1" t="s">
        <v>3136</v>
      </c>
      <c r="F605" s="1" t="s">
        <v>3137</v>
      </c>
      <c r="H605" s="1">
        <v>0</v>
      </c>
      <c r="I605" s="1">
        <v>2020</v>
      </c>
      <c r="J605" s="1">
        <v>24</v>
      </c>
      <c r="K605" s="1">
        <v>2</v>
      </c>
      <c r="O605" s="1" t="s">
        <v>3138</v>
      </c>
    </row>
    <row r="606" spans="1:16" ht="15.75" customHeight="1">
      <c r="A606" s="1" t="s">
        <v>10</v>
      </c>
      <c r="B606" s="1" t="s">
        <v>6275</v>
      </c>
      <c r="C606" s="1" t="s">
        <v>6276</v>
      </c>
      <c r="D606" s="1" t="s">
        <v>6277</v>
      </c>
      <c r="E606" s="1" t="s">
        <v>6278</v>
      </c>
      <c r="F606" s="1" t="s">
        <v>6279</v>
      </c>
      <c r="H606" s="1">
        <v>0</v>
      </c>
      <c r="I606" s="1">
        <v>2020</v>
      </c>
      <c r="J606" s="1">
        <v>28</v>
      </c>
      <c r="K606" s="1">
        <v>1</v>
      </c>
    </row>
    <row r="607" spans="1:16" ht="15.75" customHeight="1">
      <c r="A607" s="1" t="s">
        <v>0</v>
      </c>
      <c r="B607" s="1" t="s">
        <v>4715</v>
      </c>
      <c r="C607" s="1" t="s">
        <v>4716</v>
      </c>
      <c r="D607" s="1" t="s">
        <v>4717</v>
      </c>
      <c r="E607" s="1" t="s">
        <v>4718</v>
      </c>
      <c r="F607" s="1" t="s">
        <v>4719</v>
      </c>
      <c r="G607" s="1">
        <v>16</v>
      </c>
      <c r="H607" s="1">
        <v>0</v>
      </c>
      <c r="I607" s="1">
        <v>2020</v>
      </c>
      <c r="J607" s="1" t="s">
        <v>6</v>
      </c>
      <c r="K607" s="1">
        <v>50</v>
      </c>
      <c r="L607" s="1">
        <v>97</v>
      </c>
      <c r="M607" s="1">
        <v>111</v>
      </c>
      <c r="N607" s="1" t="s">
        <v>6</v>
      </c>
      <c r="O607" s="1" t="s">
        <v>4720</v>
      </c>
      <c r="P607" s="3" t="str">
        <f>HYPERLINK("http://dx.doi.org/10.32735/S0718-2201202000050779","http://dx.doi.org/10.32735/S0718-2201202000050779")</f>
        <v>http://dx.doi.org/10.32735/S0718-2201202000050779</v>
      </c>
    </row>
    <row r="608" spans="1:16" ht="15.75" customHeight="1">
      <c r="A608" s="1" t="s">
        <v>0</v>
      </c>
      <c r="B608" s="1" t="s">
        <v>3658</v>
      </c>
      <c r="C608" s="1" t="s">
        <v>3659</v>
      </c>
      <c r="D608" s="1" t="s">
        <v>236</v>
      </c>
      <c r="E608" s="1" t="s">
        <v>3660</v>
      </c>
      <c r="F608" s="1" t="s">
        <v>3661</v>
      </c>
      <c r="G608" s="1">
        <v>29</v>
      </c>
      <c r="H608" s="1">
        <v>0</v>
      </c>
      <c r="I608" s="1">
        <v>2020</v>
      </c>
      <c r="J608" s="1">
        <v>43</v>
      </c>
      <c r="K608" s="1">
        <v>2</v>
      </c>
      <c r="L608" s="1">
        <v>91</v>
      </c>
      <c r="M608" s="1">
        <v>107</v>
      </c>
      <c r="N608" s="1" t="s">
        <v>6</v>
      </c>
      <c r="O608" s="1" t="s">
        <v>3662</v>
      </c>
      <c r="P608" s="3" t="str">
        <f>HYPERLINK("http://dx.doi.org/10.15446/RCS.V43N2.82574","http://dx.doi.org/10.15446/RCS.V43N2.82574")</f>
        <v>http://dx.doi.org/10.15446/RCS.V43N2.82574</v>
      </c>
    </row>
    <row r="609" spans="1:16" ht="15.75" customHeight="1">
      <c r="A609" s="1" t="s">
        <v>10</v>
      </c>
      <c r="B609" s="1" t="s">
        <v>3499</v>
      </c>
      <c r="C609" s="1" t="s">
        <v>3500</v>
      </c>
      <c r="D609" s="1" t="s">
        <v>755</v>
      </c>
      <c r="E609" s="1" t="s">
        <v>3501</v>
      </c>
      <c r="F609" s="1" t="s">
        <v>3502</v>
      </c>
      <c r="H609" s="1">
        <v>0</v>
      </c>
      <c r="I609" s="1">
        <v>2020</v>
      </c>
      <c r="K609" s="1">
        <v>72</v>
      </c>
    </row>
    <row r="610" spans="1:16" ht="15.75" customHeight="1">
      <c r="A610" s="1" t="s">
        <v>0</v>
      </c>
      <c r="B610" s="1" t="s">
        <v>5143</v>
      </c>
      <c r="C610" s="1" t="s">
        <v>5144</v>
      </c>
      <c r="D610" s="1" t="s">
        <v>1815</v>
      </c>
      <c r="E610" s="1" t="s">
        <v>5145</v>
      </c>
      <c r="F610" s="1" t="s">
        <v>5146</v>
      </c>
      <c r="G610" s="1">
        <v>87</v>
      </c>
      <c r="H610" s="1">
        <v>0</v>
      </c>
      <c r="I610" s="1">
        <v>2020</v>
      </c>
      <c r="J610" s="1">
        <v>49</v>
      </c>
      <c r="K610" s="1" t="s">
        <v>6</v>
      </c>
      <c r="L610" s="1">
        <v>3721</v>
      </c>
      <c r="M610" s="1">
        <v>3737</v>
      </c>
      <c r="N610" s="1" t="s">
        <v>6</v>
      </c>
      <c r="O610" s="1" t="s">
        <v>6</v>
      </c>
      <c r="P610" s="1" t="s">
        <v>6</v>
      </c>
    </row>
    <row r="611" spans="1:16" ht="15.75" customHeight="1">
      <c r="A611" s="1" t="s">
        <v>0</v>
      </c>
      <c r="B611" s="1" t="s">
        <v>1711</v>
      </c>
      <c r="C611" s="1" t="s">
        <v>1712</v>
      </c>
      <c r="D611" s="1" t="s">
        <v>1713</v>
      </c>
      <c r="E611" s="1" t="s">
        <v>1714</v>
      </c>
      <c r="F611" s="1" t="s">
        <v>1715</v>
      </c>
      <c r="G611" s="1">
        <v>31</v>
      </c>
      <c r="H611" s="1">
        <v>0</v>
      </c>
      <c r="I611" s="1">
        <v>2020</v>
      </c>
      <c r="J611" s="1">
        <v>24</v>
      </c>
      <c r="K611" s="1">
        <v>68</v>
      </c>
      <c r="L611" s="1">
        <v>117</v>
      </c>
      <c r="M611" s="1">
        <v>134</v>
      </c>
      <c r="N611" s="1" t="s">
        <v>6</v>
      </c>
      <c r="O611" s="1" t="s">
        <v>1716</v>
      </c>
      <c r="P611" s="3" t="str">
        <f>HYPERLINK("http://dx.doi.org/10.17141/iconos.68.2020.4043","http://dx.doi.org/10.17141/iconos.68.2020.4043")</f>
        <v>http://dx.doi.org/10.17141/iconos.68.2020.4043</v>
      </c>
    </row>
    <row r="612" spans="1:16" ht="15.75" customHeight="1">
      <c r="A612" s="1" t="s">
        <v>0</v>
      </c>
      <c r="B612" s="1" t="s">
        <v>6972</v>
      </c>
      <c r="C612" s="1" t="s">
        <v>6973</v>
      </c>
      <c r="D612" s="1" t="s">
        <v>6974</v>
      </c>
      <c r="E612" s="1" t="s">
        <v>6975</v>
      </c>
      <c r="F612" s="1" t="s">
        <v>6976</v>
      </c>
      <c r="G612" s="1">
        <v>18</v>
      </c>
      <c r="H612" s="1">
        <v>0</v>
      </c>
      <c r="I612" s="1">
        <v>2020</v>
      </c>
      <c r="J612" s="1" t="s">
        <v>6</v>
      </c>
      <c r="K612" s="1">
        <v>19</v>
      </c>
      <c r="L612" s="1">
        <v>32</v>
      </c>
      <c r="M612" s="1">
        <v>46</v>
      </c>
      <c r="N612" s="1" t="s">
        <v>6</v>
      </c>
      <c r="O612" s="1" t="s">
        <v>6977</v>
      </c>
      <c r="P612" s="3" t="str">
        <f>HYPERLINK("http://dx.doi.org/10.4995/reinad.2020.13824","http://dx.doi.org/10.4995/reinad.2020.13824")</f>
        <v>http://dx.doi.org/10.4995/reinad.2020.13824</v>
      </c>
    </row>
    <row r="613" spans="1:16" ht="15.75" customHeight="1">
      <c r="A613" s="1" t="s">
        <v>10</v>
      </c>
      <c r="B613" s="1" t="s">
        <v>1594</v>
      </c>
      <c r="C613" s="1" t="s">
        <v>1595</v>
      </c>
      <c r="D613" s="1" t="s">
        <v>1596</v>
      </c>
      <c r="E613" s="1" t="s">
        <v>1597</v>
      </c>
      <c r="F613" s="1" t="s">
        <v>1598</v>
      </c>
      <c r="H613" s="1">
        <v>0</v>
      </c>
      <c r="I613" s="1">
        <v>2020</v>
      </c>
      <c r="O613" s="1" t="s">
        <v>1599</v>
      </c>
    </row>
    <row r="614" spans="1:16" ht="15.75" customHeight="1">
      <c r="A614" s="1" t="s">
        <v>0</v>
      </c>
      <c r="B614" s="1" t="s">
        <v>519</v>
      </c>
      <c r="C614" s="1" t="s">
        <v>520</v>
      </c>
      <c r="D614" s="1" t="s">
        <v>521</v>
      </c>
      <c r="E614" s="1" t="s">
        <v>522</v>
      </c>
      <c r="F614" s="1" t="s">
        <v>523</v>
      </c>
      <c r="G614" s="1">
        <v>26</v>
      </c>
      <c r="H614" s="1">
        <v>0</v>
      </c>
      <c r="I614" s="1">
        <v>2020</v>
      </c>
      <c r="J614" s="1">
        <v>30</v>
      </c>
      <c r="K614" s="1" t="s">
        <v>524</v>
      </c>
    </row>
    <row r="615" spans="1:16" ht="15.75" customHeight="1">
      <c r="A615" s="1" t="s">
        <v>0</v>
      </c>
      <c r="B615" s="1" t="s">
        <v>5262</v>
      </c>
      <c r="C615" s="1" t="s">
        <v>5263</v>
      </c>
      <c r="D615" s="1" t="s">
        <v>3814</v>
      </c>
      <c r="E615" s="1" t="s">
        <v>5264</v>
      </c>
      <c r="F615" s="1" t="s">
        <v>5265</v>
      </c>
      <c r="G615" s="1">
        <v>22</v>
      </c>
      <c r="H615" s="1">
        <v>0</v>
      </c>
      <c r="I615" s="1">
        <v>2020</v>
      </c>
      <c r="J615" s="1">
        <v>10</v>
      </c>
      <c r="K615" s="1">
        <v>1</v>
      </c>
      <c r="L615" s="1">
        <v>33</v>
      </c>
      <c r="M615" s="1">
        <v>51</v>
      </c>
      <c r="N615" s="1" t="s">
        <v>6</v>
      </c>
      <c r="O615" s="1" t="s">
        <v>5266</v>
      </c>
      <c r="P615" s="3" t="str">
        <f>HYPERLINK("http://dx.doi.org/10.35004/raep.v10i1.181","http://dx.doi.org/10.35004/raep.v10i1.181")</f>
        <v>http://dx.doi.org/10.35004/raep.v10i1.181</v>
      </c>
    </row>
    <row r="616" spans="1:16" ht="15.75" customHeight="1">
      <c r="A616" s="1" t="s">
        <v>10</v>
      </c>
      <c r="B616" s="1" t="s">
        <v>4048</v>
      </c>
      <c r="C616" s="2" t="s">
        <v>4049</v>
      </c>
      <c r="D616" s="1" t="s">
        <v>4050</v>
      </c>
      <c r="E616" s="1" t="s">
        <v>4051</v>
      </c>
      <c r="F616" s="1" t="s">
        <v>4052</v>
      </c>
      <c r="H616" s="1">
        <v>0</v>
      </c>
      <c r="I616" s="1">
        <v>2020</v>
      </c>
      <c r="J616" s="1">
        <v>24</v>
      </c>
      <c r="K616" s="1">
        <v>646</v>
      </c>
      <c r="O616" s="1" t="s">
        <v>4053</v>
      </c>
    </row>
    <row r="617" spans="1:16" ht="15.75" customHeight="1">
      <c r="A617" s="1" t="s">
        <v>0</v>
      </c>
      <c r="B617" s="1" t="s">
        <v>2147</v>
      </c>
      <c r="C617" s="1" t="s">
        <v>2148</v>
      </c>
      <c r="D617" s="1" t="s">
        <v>236</v>
      </c>
      <c r="E617" s="1" t="s">
        <v>2149</v>
      </c>
      <c r="F617" s="1" t="s">
        <v>2150</v>
      </c>
      <c r="G617" s="1">
        <v>40</v>
      </c>
      <c r="H617" s="1">
        <v>0</v>
      </c>
      <c r="I617" s="1">
        <v>2020</v>
      </c>
      <c r="J617" s="1">
        <v>43</v>
      </c>
      <c r="K617" s="1">
        <v>1</v>
      </c>
      <c r="L617" s="1">
        <v>17</v>
      </c>
      <c r="M617" s="1">
        <v>36</v>
      </c>
      <c r="N617" s="1" t="s">
        <v>6</v>
      </c>
      <c r="O617" s="1" t="s">
        <v>2151</v>
      </c>
      <c r="P617" s="3" t="str">
        <f>HYPERLINK("http://dx.doi.org/10.15446/rcs.v43n1.79075","http://dx.doi.org/10.15446/rcs.v43n1.79075")</f>
        <v>http://dx.doi.org/10.15446/rcs.v43n1.79075</v>
      </c>
    </row>
    <row r="618" spans="1:16" ht="15.75" customHeight="1">
      <c r="A618" s="1" t="s">
        <v>10</v>
      </c>
      <c r="B618" s="1" t="s">
        <v>322</v>
      </c>
      <c r="C618" s="1" t="s">
        <v>323</v>
      </c>
      <c r="D618" s="1" t="s">
        <v>324</v>
      </c>
      <c r="E618" s="1" t="s">
        <v>325</v>
      </c>
      <c r="F618" s="1" t="s">
        <v>326</v>
      </c>
      <c r="H618" s="1">
        <v>0</v>
      </c>
      <c r="I618" s="1">
        <v>2020</v>
      </c>
      <c r="J618" s="1">
        <v>39</v>
      </c>
      <c r="K618" s="1">
        <v>76</v>
      </c>
      <c r="O618" s="1" t="s">
        <v>327</v>
      </c>
    </row>
    <row r="619" spans="1:16" ht="15.75" customHeight="1">
      <c r="A619" s="1" t="s">
        <v>0</v>
      </c>
      <c r="B619" s="1" t="s">
        <v>3471</v>
      </c>
      <c r="C619" s="1" t="s">
        <v>3472</v>
      </c>
      <c r="D619" s="1" t="s">
        <v>2910</v>
      </c>
      <c r="E619" s="1" t="s">
        <v>3473</v>
      </c>
      <c r="F619" s="1" t="s">
        <v>3474</v>
      </c>
      <c r="G619" s="1">
        <v>51</v>
      </c>
      <c r="H619" s="1">
        <v>0</v>
      </c>
      <c r="I619" s="1">
        <v>2020</v>
      </c>
      <c r="J619" s="1">
        <v>21</v>
      </c>
      <c r="K619" s="1" t="s">
        <v>6</v>
      </c>
      <c r="L619" s="1" t="s">
        <v>6</v>
      </c>
      <c r="M619" s="1" t="s">
        <v>6</v>
      </c>
      <c r="N619" s="1" t="s">
        <v>3475</v>
      </c>
      <c r="O619" s="1" t="s">
        <v>3476</v>
      </c>
      <c r="P619" s="3" t="str">
        <f>HYPERLINK("http://dx.doi.org/10.21670/ref.2007049","http://dx.doi.org/10.21670/ref.2007049")</f>
        <v>http://dx.doi.org/10.21670/ref.2007049</v>
      </c>
    </row>
    <row r="620" spans="1:16" ht="15.75" customHeight="1">
      <c r="A620" s="1" t="s">
        <v>10</v>
      </c>
      <c r="B620" s="1" t="s">
        <v>5627</v>
      </c>
      <c r="C620" s="1" t="s">
        <v>5628</v>
      </c>
      <c r="D620" s="1" t="s">
        <v>5629</v>
      </c>
      <c r="E620" s="1" t="s">
        <v>5630</v>
      </c>
      <c r="F620" s="1" t="s">
        <v>5631</v>
      </c>
      <c r="H620" s="1">
        <v>0</v>
      </c>
      <c r="I620" s="1">
        <v>2020</v>
      </c>
      <c r="J620" s="1">
        <v>11</v>
      </c>
      <c r="K620" s="1">
        <v>1</v>
      </c>
      <c r="O620" s="1" t="s">
        <v>5632</v>
      </c>
    </row>
    <row r="621" spans="1:16" ht="15.75" customHeight="1">
      <c r="A621" s="1" t="s">
        <v>10</v>
      </c>
      <c r="B621" s="1" t="s">
        <v>631</v>
      </c>
      <c r="C621" s="1" t="s">
        <v>632</v>
      </c>
      <c r="D621" s="1" t="s">
        <v>633</v>
      </c>
      <c r="E621" s="1" t="s">
        <v>634</v>
      </c>
      <c r="F621" s="1" t="s">
        <v>635</v>
      </c>
      <c r="H621" s="1">
        <v>0</v>
      </c>
      <c r="I621" s="1">
        <v>2020</v>
      </c>
      <c r="J621" s="1">
        <v>11</v>
      </c>
      <c r="K621" s="1">
        <v>1</v>
      </c>
      <c r="O621" s="1" t="s">
        <v>636</v>
      </c>
    </row>
    <row r="622" spans="1:16" ht="15.75" customHeight="1">
      <c r="A622" s="1" t="s">
        <v>0</v>
      </c>
      <c r="B622" s="1" t="s">
        <v>3777</v>
      </c>
      <c r="C622" s="1" t="s">
        <v>3778</v>
      </c>
      <c r="D622" s="1" t="s">
        <v>2664</v>
      </c>
      <c r="E622" s="1" t="s">
        <v>3779</v>
      </c>
      <c r="F622" s="1" t="s">
        <v>3780</v>
      </c>
      <c r="G622" s="1">
        <v>72</v>
      </c>
      <c r="H622" s="1">
        <v>0</v>
      </c>
      <c r="I622" s="1">
        <v>2020</v>
      </c>
      <c r="J622" s="1">
        <v>7</v>
      </c>
      <c r="K622" s="1">
        <v>3</v>
      </c>
      <c r="L622" s="1">
        <v>373</v>
      </c>
      <c r="M622" s="1">
        <v>403</v>
      </c>
      <c r="N622" s="1" t="s">
        <v>6</v>
      </c>
      <c r="O622" s="1" t="s">
        <v>3781</v>
      </c>
      <c r="P622" s="3" t="str">
        <f>HYPERLINK("http://dx.doi.org/10.47456/simbitica.v7i3.33707","http://dx.doi.org/10.47456/simbitica.v7i3.33707")</f>
        <v>http://dx.doi.org/10.47456/simbitica.v7i3.33707</v>
      </c>
    </row>
    <row r="623" spans="1:16" ht="15.75" customHeight="1">
      <c r="A623" s="1" t="s">
        <v>0</v>
      </c>
      <c r="B623" s="1" t="s">
        <v>5838</v>
      </c>
      <c r="C623" s="1" t="s">
        <v>5839</v>
      </c>
      <c r="D623" s="1" t="s">
        <v>201</v>
      </c>
      <c r="E623" s="1" t="s">
        <v>5840</v>
      </c>
      <c r="F623" s="1" t="s">
        <v>5841</v>
      </c>
      <c r="G623" s="1">
        <v>69</v>
      </c>
      <c r="H623" s="1">
        <v>0</v>
      </c>
      <c r="I623" s="1">
        <v>2020</v>
      </c>
      <c r="J623" s="1" t="s">
        <v>6</v>
      </c>
      <c r="K623" s="1">
        <v>66</v>
      </c>
      <c r="L623" s="1">
        <v>347</v>
      </c>
      <c r="M623" s="1">
        <v>366</v>
      </c>
      <c r="N623" s="1" t="s">
        <v>6</v>
      </c>
      <c r="O623" s="1" t="s">
        <v>5842</v>
      </c>
      <c r="P623" s="3" t="str">
        <f>HYPERLINK("http://dx.doi.org/10.22199/issn.0718-1043-2020-0054","http://dx.doi.org/10.22199/issn.0718-1043-2020-0054")</f>
        <v>http://dx.doi.org/10.22199/issn.0718-1043-2020-0054</v>
      </c>
    </row>
    <row r="624" spans="1:16" ht="15.75" customHeight="1">
      <c r="A624" s="1" t="s">
        <v>0</v>
      </c>
      <c r="B624" s="1" t="s">
        <v>5582</v>
      </c>
      <c r="C624" s="1" t="s">
        <v>5583</v>
      </c>
      <c r="D624" s="1" t="s">
        <v>1364</v>
      </c>
      <c r="E624" s="1" t="s">
        <v>5584</v>
      </c>
      <c r="F624" s="1" t="s">
        <v>5585</v>
      </c>
      <c r="G624" s="1">
        <v>57</v>
      </c>
      <c r="H624" s="1">
        <v>0</v>
      </c>
      <c r="I624" s="1">
        <v>2020</v>
      </c>
      <c r="J624" s="1">
        <v>14</v>
      </c>
      <c r="K624" s="1">
        <v>26</v>
      </c>
      <c r="L624" s="1">
        <v>150</v>
      </c>
      <c r="M624" s="1">
        <v>178</v>
      </c>
      <c r="N624" s="1" t="s">
        <v>6</v>
      </c>
      <c r="O624" s="1" t="s">
        <v>5586</v>
      </c>
      <c r="P624" s="3" t="str">
        <f>HYPERLINK("http://dx.doi.org/10.31406/relap2020.v14.i1.n26.7","http://dx.doi.org/10.31406/relap2020.v14.i1.n26.7")</f>
        <v>http://dx.doi.org/10.31406/relap2020.v14.i1.n26.7</v>
      </c>
    </row>
    <row r="625" spans="1:16" ht="15.75" customHeight="1">
      <c r="A625" s="1" t="s">
        <v>0</v>
      </c>
      <c r="B625" s="1" t="s">
        <v>2025</v>
      </c>
      <c r="C625" s="1" t="s">
        <v>2026</v>
      </c>
      <c r="D625" s="1" t="s">
        <v>2027</v>
      </c>
      <c r="E625" s="1" t="s">
        <v>2028</v>
      </c>
      <c r="F625" s="1" t="s">
        <v>2029</v>
      </c>
      <c r="G625" s="1">
        <v>24</v>
      </c>
      <c r="H625" s="1">
        <v>0</v>
      </c>
      <c r="I625" s="1">
        <v>2020</v>
      </c>
      <c r="J625" s="1">
        <v>44</v>
      </c>
      <c r="K625" s="1" t="s">
        <v>6</v>
      </c>
      <c r="L625" s="1" t="s">
        <v>6</v>
      </c>
      <c r="M625" s="1" t="s">
        <v>6</v>
      </c>
      <c r="N625" s="1" t="s">
        <v>6</v>
      </c>
      <c r="O625" s="1" t="s">
        <v>6</v>
      </c>
      <c r="P625" s="1" t="s">
        <v>6</v>
      </c>
    </row>
    <row r="626" spans="1:16" ht="15.75" customHeight="1">
      <c r="A626" s="1" t="s">
        <v>0</v>
      </c>
      <c r="B626" s="1" t="s">
        <v>2020</v>
      </c>
      <c r="C626" s="1" t="s">
        <v>2021</v>
      </c>
      <c r="D626" s="1" t="s">
        <v>2022</v>
      </c>
      <c r="E626" s="1" t="s">
        <v>2023</v>
      </c>
      <c r="F626" s="1" t="s">
        <v>2024</v>
      </c>
      <c r="G626" s="1">
        <v>49</v>
      </c>
      <c r="H626" s="1">
        <v>0</v>
      </c>
      <c r="I626" s="1">
        <v>2020</v>
      </c>
      <c r="J626" s="1" t="s">
        <v>6</v>
      </c>
      <c r="K626" s="1">
        <v>77</v>
      </c>
      <c r="L626" s="1">
        <v>313</v>
      </c>
      <c r="M626" s="1">
        <v>337</v>
      </c>
      <c r="N626" s="1" t="s">
        <v>6</v>
      </c>
      <c r="O626" s="1" t="s">
        <v>6</v>
      </c>
      <c r="P626" s="1" t="s">
        <v>6</v>
      </c>
    </row>
    <row r="627" spans="1:16" ht="15.75" customHeight="1">
      <c r="A627" s="1" t="s">
        <v>0</v>
      </c>
      <c r="B627" s="1" t="s">
        <v>6401</v>
      </c>
      <c r="C627" s="1" t="s">
        <v>6402</v>
      </c>
      <c r="D627" s="1" t="s">
        <v>6403</v>
      </c>
      <c r="E627" s="1" t="s">
        <v>6404</v>
      </c>
      <c r="F627" s="1" t="s">
        <v>6405</v>
      </c>
      <c r="G627" s="1">
        <v>55</v>
      </c>
      <c r="H627" s="1">
        <v>0</v>
      </c>
      <c r="I627" s="1">
        <v>2020</v>
      </c>
      <c r="J627" s="1" t="s">
        <v>6</v>
      </c>
      <c r="K627" s="1">
        <v>190</v>
      </c>
      <c r="L627" s="1">
        <v>97</v>
      </c>
      <c r="M627" s="1">
        <v>127</v>
      </c>
      <c r="N627" s="1" t="s">
        <v>6</v>
      </c>
      <c r="O627" s="1" t="s">
        <v>6406</v>
      </c>
      <c r="P627" s="3" t="str">
        <f>HYPERLINK("http://dx.doi.org/10.18042/cepc/rep.190.04","http://dx.doi.org/10.18042/cepc/rep.190.04")</f>
        <v>http://dx.doi.org/10.18042/cepc/rep.190.04</v>
      </c>
    </row>
    <row r="628" spans="1:16" ht="15.75" customHeight="1">
      <c r="A628" s="1" t="s">
        <v>0</v>
      </c>
      <c r="B628" s="1" t="s">
        <v>5706</v>
      </c>
      <c r="C628" s="1" t="s">
        <v>5707</v>
      </c>
      <c r="D628" s="1" t="s">
        <v>5708</v>
      </c>
      <c r="E628" s="1" t="s">
        <v>5709</v>
      </c>
      <c r="F628" s="1" t="s">
        <v>5710</v>
      </c>
      <c r="G628" s="1">
        <v>33</v>
      </c>
      <c r="H628" s="1">
        <v>0</v>
      </c>
      <c r="I628" s="1">
        <v>2020</v>
      </c>
      <c r="J628" s="1">
        <v>59</v>
      </c>
      <c r="K628" s="1">
        <v>3</v>
      </c>
      <c r="L628" s="1">
        <v>92</v>
      </c>
      <c r="M628" s="1">
        <v>117</v>
      </c>
      <c r="N628" s="1" t="s">
        <v>6</v>
      </c>
      <c r="O628" s="1" t="s">
        <v>5711</v>
      </c>
      <c r="P628" s="3" t="str">
        <f>HYPERLINK("http://dx.doi.org/10.4151/07189729-Vol.59-Iss.3-Art.1038","http://dx.doi.org/10.4151/07189729-Vol.59-Iss.3-Art.1038")</f>
        <v>http://dx.doi.org/10.4151/07189729-Vol.59-Iss.3-Art.1038</v>
      </c>
    </row>
    <row r="629" spans="1:16" ht="15.75" customHeight="1">
      <c r="A629" s="1" t="s">
        <v>0</v>
      </c>
      <c r="B629" s="1" t="s">
        <v>152</v>
      </c>
      <c r="C629" s="1" t="s">
        <v>153</v>
      </c>
      <c r="D629" s="1" t="s">
        <v>154</v>
      </c>
      <c r="E629" s="1" t="s">
        <v>155</v>
      </c>
      <c r="F629" s="1" t="s">
        <v>156</v>
      </c>
      <c r="G629" s="1">
        <v>21</v>
      </c>
      <c r="H629" s="1">
        <v>0</v>
      </c>
      <c r="I629" s="1">
        <v>2020</v>
      </c>
      <c r="J629" s="1">
        <v>36</v>
      </c>
      <c r="K629" s="1">
        <v>1</v>
      </c>
      <c r="L629" s="1">
        <v>253</v>
      </c>
      <c r="M629" s="1">
        <v>271</v>
      </c>
      <c r="N629" s="1" t="s">
        <v>6</v>
      </c>
      <c r="O629" s="1" t="s">
        <v>157</v>
      </c>
      <c r="P629" s="3" t="str">
        <f>HYPERLINK("http://dx.doi.org/10.4067/S0718-23762021000100253","http://dx.doi.org/10.4067/S0718-23762021000100253")</f>
        <v>http://dx.doi.org/10.4067/S0718-23762021000100253</v>
      </c>
    </row>
    <row r="630" spans="1:16" ht="15.75" customHeight="1">
      <c r="A630" s="1" t="s">
        <v>0</v>
      </c>
      <c r="B630" s="1" t="s">
        <v>570</v>
      </c>
      <c r="C630" s="1" t="s">
        <v>571</v>
      </c>
      <c r="D630" s="1" t="s">
        <v>572</v>
      </c>
      <c r="E630" s="1" t="s">
        <v>573</v>
      </c>
      <c r="F630" s="1" t="s">
        <v>574</v>
      </c>
      <c r="G630" s="1">
        <v>30</v>
      </c>
      <c r="H630" s="1">
        <v>0</v>
      </c>
      <c r="I630" s="1">
        <v>2020</v>
      </c>
      <c r="J630" s="1">
        <v>47</v>
      </c>
      <c r="K630" s="1">
        <v>87</v>
      </c>
      <c r="L630" s="1">
        <v>5</v>
      </c>
      <c r="M630" s="1">
        <v>27</v>
      </c>
      <c r="N630" s="1" t="s">
        <v>6</v>
      </c>
      <c r="O630" s="1" t="s">
        <v>575</v>
      </c>
      <c r="P630" s="3" t="str">
        <f>HYPERLINK("http://dx.doi.org/10.21678/apuntes.87.1090","http://dx.doi.org/10.21678/apuntes.87.1090")</f>
        <v>http://dx.doi.org/10.21678/apuntes.87.1090</v>
      </c>
    </row>
    <row r="631" spans="1:16" ht="15.75" customHeight="1">
      <c r="A631" s="1" t="s">
        <v>0</v>
      </c>
      <c r="B631" s="1" t="s">
        <v>5317</v>
      </c>
      <c r="C631" s="1" t="s">
        <v>5318</v>
      </c>
      <c r="D631" s="1" t="s">
        <v>5319</v>
      </c>
      <c r="E631" s="1" t="s">
        <v>5320</v>
      </c>
      <c r="F631" s="1" t="s">
        <v>5321</v>
      </c>
      <c r="G631" s="1">
        <v>4</v>
      </c>
      <c r="H631" s="1">
        <v>0</v>
      </c>
      <c r="I631" s="1">
        <v>2020</v>
      </c>
      <c r="J631" s="1" t="s">
        <v>6</v>
      </c>
      <c r="K631" s="1">
        <v>37</v>
      </c>
      <c r="L631" s="1" t="s">
        <v>6</v>
      </c>
      <c r="M631" s="1" t="s">
        <v>6</v>
      </c>
      <c r="N631" s="1" t="s">
        <v>5322</v>
      </c>
      <c r="O631" s="1" t="s">
        <v>5323</v>
      </c>
      <c r="P631" s="3" t="str">
        <f>HYPERLINK("http://dx.doi.org/10.12957/geouerj.2020.53912","http://dx.doi.org/10.12957/geouerj.2020.53912")</f>
        <v>http://dx.doi.org/10.12957/geouerj.2020.53912</v>
      </c>
    </row>
    <row r="632" spans="1:16" ht="15.75" customHeight="1">
      <c r="A632" s="1" t="s">
        <v>0</v>
      </c>
      <c r="B632" s="1" t="s">
        <v>7003</v>
      </c>
      <c r="C632" s="1" t="s">
        <v>7004</v>
      </c>
      <c r="D632" s="1" t="s">
        <v>7005</v>
      </c>
      <c r="E632" s="1" t="s">
        <v>7006</v>
      </c>
      <c r="F632" s="1" t="s">
        <v>7007</v>
      </c>
      <c r="G632" s="1">
        <v>76</v>
      </c>
      <c r="H632" s="1">
        <v>0</v>
      </c>
      <c r="I632" s="1">
        <v>2020</v>
      </c>
      <c r="J632" s="1">
        <v>11</v>
      </c>
      <c r="K632" s="1">
        <v>1</v>
      </c>
      <c r="L632" s="1">
        <v>123</v>
      </c>
      <c r="M632" s="1">
        <v>152</v>
      </c>
      <c r="N632" s="1" t="s">
        <v>6</v>
      </c>
      <c r="O632" s="1" t="s">
        <v>7008</v>
      </c>
      <c r="P632" s="3" t="str">
        <f>HYPERLINK("http://dx.doi.org/10.21501/22161201.2978","http://dx.doi.org/10.21501/22161201.2978")</f>
        <v>http://dx.doi.org/10.21501/22161201.2978</v>
      </c>
    </row>
    <row r="633" spans="1:16" ht="15.75" customHeight="1">
      <c r="A633" s="1" t="s">
        <v>0</v>
      </c>
      <c r="B633" s="1" t="s">
        <v>3812</v>
      </c>
      <c r="C633" s="1" t="s">
        <v>3813</v>
      </c>
      <c r="D633" s="1" t="s">
        <v>3814</v>
      </c>
      <c r="E633" s="1" t="s">
        <v>3815</v>
      </c>
      <c r="F633" s="1" t="s">
        <v>3816</v>
      </c>
      <c r="G633" s="1">
        <v>27</v>
      </c>
      <c r="H633" s="1">
        <v>0</v>
      </c>
      <c r="I633" s="1">
        <v>2020</v>
      </c>
      <c r="J633" s="1">
        <v>10</v>
      </c>
      <c r="K633" s="1">
        <v>1</v>
      </c>
      <c r="L633" s="1">
        <v>8</v>
      </c>
      <c r="M633" s="1">
        <v>32</v>
      </c>
      <c r="N633" s="1" t="s">
        <v>6</v>
      </c>
      <c r="O633" s="1" t="s">
        <v>3817</v>
      </c>
      <c r="P633" s="3" t="str">
        <f>HYPERLINK("http://dx.doi.org/10.35004/raep.v10i1.180","http://dx.doi.org/10.35004/raep.v10i1.180")</f>
        <v>http://dx.doi.org/10.35004/raep.v10i1.180</v>
      </c>
    </row>
    <row r="634" spans="1:16" ht="15.75" customHeight="1">
      <c r="A634" s="1" t="s">
        <v>0</v>
      </c>
      <c r="B634" s="1" t="s">
        <v>6333</v>
      </c>
      <c r="C634" s="1" t="s">
        <v>6334</v>
      </c>
      <c r="D634" s="1" t="s">
        <v>6335</v>
      </c>
      <c r="E634" s="1" t="s">
        <v>6336</v>
      </c>
      <c r="F634" s="1" t="s">
        <v>6337</v>
      </c>
      <c r="G634" s="1">
        <v>41</v>
      </c>
      <c r="H634" s="1">
        <v>0</v>
      </c>
      <c r="I634" s="1">
        <v>2020</v>
      </c>
      <c r="J634" s="1" t="s">
        <v>6</v>
      </c>
      <c r="K634" s="1">
        <v>40</v>
      </c>
      <c r="L634" s="1">
        <v>97</v>
      </c>
      <c r="M634" s="1">
        <v>117</v>
      </c>
      <c r="N634" s="1" t="s">
        <v>6</v>
      </c>
      <c r="O634" s="1" t="s">
        <v>6338</v>
      </c>
      <c r="P634" s="3" t="str">
        <f>HYPERLINK("http://dx.doi.org/10.12795/rea.2020.i40.06","http://dx.doi.org/10.12795/rea.2020.i40.06")</f>
        <v>http://dx.doi.org/10.12795/rea.2020.i40.06</v>
      </c>
    </row>
    <row r="635" spans="1:16" ht="15.75" customHeight="1">
      <c r="A635" s="1" t="s">
        <v>0</v>
      </c>
      <c r="B635" s="1" t="s">
        <v>369</v>
      </c>
      <c r="C635" s="1" t="s">
        <v>370</v>
      </c>
      <c r="D635" s="1" t="s">
        <v>371</v>
      </c>
      <c r="E635" s="1" t="s">
        <v>372</v>
      </c>
      <c r="F635" s="1" t="s">
        <v>373</v>
      </c>
      <c r="G635" s="1">
        <v>71</v>
      </c>
      <c r="H635" s="1">
        <v>0</v>
      </c>
      <c r="I635" s="1">
        <v>2020</v>
      </c>
      <c r="J635" s="1">
        <v>10</v>
      </c>
      <c r="K635" s="1">
        <v>1</v>
      </c>
      <c r="L635" s="1">
        <v>33</v>
      </c>
      <c r="M635" s="1">
        <v>72</v>
      </c>
      <c r="N635" s="1" t="s">
        <v>6</v>
      </c>
      <c r="O635" s="1" t="s">
        <v>6</v>
      </c>
      <c r="P635" s="1" t="s">
        <v>6</v>
      </c>
    </row>
    <row r="636" spans="1:16" ht="15.75" customHeight="1">
      <c r="A636" s="1" t="s">
        <v>0</v>
      </c>
      <c r="B636" s="1" t="s">
        <v>3128</v>
      </c>
      <c r="C636" s="1" t="s">
        <v>3129</v>
      </c>
      <c r="D636" s="1" t="s">
        <v>3130</v>
      </c>
      <c r="E636" s="1" t="s">
        <v>3131</v>
      </c>
      <c r="F636" s="1" t="s">
        <v>3132</v>
      </c>
      <c r="G636" s="1">
        <v>111</v>
      </c>
      <c r="H636" s="1">
        <v>74</v>
      </c>
      <c r="I636" s="1">
        <v>2021</v>
      </c>
      <c r="J636" s="1">
        <v>24</v>
      </c>
      <c r="K636" s="1" t="s">
        <v>6</v>
      </c>
      <c r="L636" s="1">
        <v>25</v>
      </c>
      <c r="M636" s="1">
        <v>33</v>
      </c>
      <c r="N636" s="1" t="s">
        <v>6</v>
      </c>
      <c r="O636" s="1" t="s">
        <v>3133</v>
      </c>
      <c r="P636" s="3" t="str">
        <f>HYPERLINK("http://dx.doi.org/10.1080/13696998.2021.2007691","http://dx.doi.org/10.1080/13696998.2021.2007691")</f>
        <v>http://dx.doi.org/10.1080/13696998.2021.2007691</v>
      </c>
    </row>
    <row r="637" spans="1:16" ht="15.75" customHeight="1">
      <c r="A637" s="1" t="s">
        <v>0</v>
      </c>
      <c r="B637" s="1" t="s">
        <v>3625</v>
      </c>
      <c r="C637" s="1" t="s">
        <v>3626</v>
      </c>
      <c r="D637" s="1" t="s">
        <v>3627</v>
      </c>
      <c r="E637" s="1" t="s">
        <v>3628</v>
      </c>
      <c r="F637" s="1" t="s">
        <v>3629</v>
      </c>
      <c r="G637" s="1">
        <v>96</v>
      </c>
      <c r="H637" s="1">
        <v>43</v>
      </c>
      <c r="I637" s="1">
        <v>2021</v>
      </c>
      <c r="J637" s="1">
        <v>77</v>
      </c>
      <c r="K637" s="1">
        <v>1</v>
      </c>
      <c r="L637" s="1" t="s">
        <v>6</v>
      </c>
      <c r="M637" s="1" t="s">
        <v>6</v>
      </c>
      <c r="N637" s="1">
        <v>30</v>
      </c>
      <c r="O637" s="1" t="s">
        <v>3630</v>
      </c>
      <c r="P637" s="3" t="str">
        <f>HYPERLINK("http://dx.doi.org/10.1186/s41118-021-00139-1","http://dx.doi.org/10.1186/s41118-021-00139-1")</f>
        <v>http://dx.doi.org/10.1186/s41118-021-00139-1</v>
      </c>
    </row>
    <row r="638" spans="1:16" ht="15.75" customHeight="1">
      <c r="A638" s="1" t="s">
        <v>10</v>
      </c>
      <c r="B638" s="1" t="s">
        <v>3224</v>
      </c>
      <c r="C638" s="1" t="s">
        <v>3225</v>
      </c>
      <c r="D638" s="1" t="s">
        <v>706</v>
      </c>
      <c r="E638" s="1" t="s">
        <v>3226</v>
      </c>
      <c r="F638" s="1" t="s">
        <v>3227</v>
      </c>
      <c r="H638" s="1">
        <v>32</v>
      </c>
      <c r="I638" s="1">
        <v>2021</v>
      </c>
      <c r="J638" s="1">
        <v>58</v>
      </c>
      <c r="K638" s="1">
        <v>3</v>
      </c>
      <c r="O638" s="1" t="s">
        <v>3228</v>
      </c>
    </row>
    <row r="639" spans="1:16" ht="15.75" customHeight="1">
      <c r="A639" s="1" t="s">
        <v>0</v>
      </c>
      <c r="B639" s="1" t="s">
        <v>531</v>
      </c>
      <c r="C639" s="1" t="s">
        <v>532</v>
      </c>
      <c r="D639" s="1" t="s">
        <v>533</v>
      </c>
      <c r="E639" s="1" t="s">
        <v>534</v>
      </c>
      <c r="F639" s="1" t="s">
        <v>535</v>
      </c>
      <c r="G639" s="1">
        <v>63</v>
      </c>
      <c r="H639" s="1">
        <v>31</v>
      </c>
      <c r="I639" s="1">
        <v>2021</v>
      </c>
      <c r="J639" s="1">
        <v>56</v>
      </c>
      <c r="K639" s="1">
        <v>3</v>
      </c>
      <c r="L639" s="1">
        <v>963</v>
      </c>
      <c r="M639" s="1">
        <v>983</v>
      </c>
      <c r="N639" s="1" t="s">
        <v>6</v>
      </c>
      <c r="O639" s="1" t="s">
        <v>536</v>
      </c>
      <c r="P639" s="3" t="str">
        <f>HYPERLINK("http://dx.doi.org/10.1007/s11187-019-00312-z","http://dx.doi.org/10.1007/s11187-019-00312-z")</f>
        <v>http://dx.doi.org/10.1007/s11187-019-00312-z</v>
      </c>
    </row>
    <row r="640" spans="1:16" ht="15.75" customHeight="1">
      <c r="A640" s="1" t="s">
        <v>10</v>
      </c>
      <c r="B640" s="1" t="s">
        <v>5729</v>
      </c>
      <c r="C640" s="1" t="s">
        <v>5730</v>
      </c>
      <c r="D640" s="1" t="s">
        <v>5731</v>
      </c>
      <c r="E640" s="1" t="s">
        <v>5732</v>
      </c>
      <c r="F640" s="1" t="s">
        <v>5733</v>
      </c>
      <c r="H640" s="1">
        <v>27</v>
      </c>
      <c r="I640" s="1">
        <v>2021</v>
      </c>
      <c r="J640" s="1">
        <v>3</v>
      </c>
      <c r="K640" s="1">
        <v>12</v>
      </c>
      <c r="O640" s="1" t="s">
        <v>5734</v>
      </c>
    </row>
    <row r="641" spans="1:16" ht="15.75" customHeight="1">
      <c r="A641" s="1" t="s">
        <v>0</v>
      </c>
      <c r="B641" s="1" t="s">
        <v>801</v>
      </c>
      <c r="C641" s="1" t="s">
        <v>802</v>
      </c>
      <c r="D641" s="1" t="s">
        <v>803</v>
      </c>
      <c r="E641" s="1" t="s">
        <v>804</v>
      </c>
      <c r="F641" s="1" t="s">
        <v>805</v>
      </c>
      <c r="G641" s="1">
        <v>44</v>
      </c>
      <c r="H641" s="1">
        <v>26</v>
      </c>
      <c r="I641" s="1">
        <v>2021</v>
      </c>
      <c r="J641" s="1">
        <v>31</v>
      </c>
      <c r="K641" s="1">
        <v>1</v>
      </c>
      <c r="L641" s="1">
        <v>167</v>
      </c>
      <c r="M641" s="1">
        <v>181</v>
      </c>
      <c r="N641" s="1" t="s">
        <v>6</v>
      </c>
      <c r="O641" s="1" t="s">
        <v>806</v>
      </c>
      <c r="P641" s="3" t="str">
        <f>HYPERLINK("http://dx.doi.org/10.15446/bitacora.v31n1.88180","http://dx.doi.org/10.15446/bitacora.v31n1.88180")</f>
        <v>http://dx.doi.org/10.15446/bitacora.v31n1.88180</v>
      </c>
    </row>
    <row r="642" spans="1:16" ht="15.75" customHeight="1">
      <c r="A642" s="1" t="s">
        <v>0</v>
      </c>
      <c r="B642" s="1" t="s">
        <v>4802</v>
      </c>
      <c r="C642" s="1" t="s">
        <v>4803</v>
      </c>
      <c r="D642" s="1" t="s">
        <v>4804</v>
      </c>
      <c r="E642" s="1" t="s">
        <v>4805</v>
      </c>
      <c r="F642" s="1" t="s">
        <v>4806</v>
      </c>
      <c r="G642" s="1">
        <v>77</v>
      </c>
      <c r="H642" s="1">
        <v>23</v>
      </c>
      <c r="I642" s="1">
        <v>2021</v>
      </c>
      <c r="J642" s="1">
        <v>106</v>
      </c>
      <c r="K642" s="1" t="s">
        <v>6</v>
      </c>
      <c r="L642" s="1">
        <v>89</v>
      </c>
      <c r="M642" s="1">
        <v>114</v>
      </c>
      <c r="N642" s="1" t="s">
        <v>6</v>
      </c>
      <c r="O642" s="1" t="s">
        <v>4807</v>
      </c>
      <c r="P642" s="3" t="str">
        <f>HYPERLINK("http://dx.doi.org/10.7440/colombiaint106.2021.04","http://dx.doi.org/10.7440/colombiaint106.2021.04")</f>
        <v>http://dx.doi.org/10.7440/colombiaint106.2021.04</v>
      </c>
    </row>
    <row r="643" spans="1:16" ht="15.75" customHeight="1">
      <c r="A643" s="1" t="s">
        <v>0</v>
      </c>
      <c r="B643" s="1" t="s">
        <v>6768</v>
      </c>
      <c r="C643" s="1" t="s">
        <v>6769</v>
      </c>
      <c r="D643" s="1" t="s">
        <v>6770</v>
      </c>
      <c r="E643" s="1" t="s">
        <v>6771</v>
      </c>
      <c r="F643" s="1" t="s">
        <v>6772</v>
      </c>
      <c r="G643" s="1">
        <v>55</v>
      </c>
      <c r="H643" s="1">
        <v>21</v>
      </c>
      <c r="I643" s="1">
        <v>2021</v>
      </c>
      <c r="J643" s="1">
        <v>9</v>
      </c>
      <c r="K643" s="1">
        <v>1</v>
      </c>
      <c r="L643" s="1" t="s">
        <v>6</v>
      </c>
      <c r="M643" s="1" t="s">
        <v>6</v>
      </c>
      <c r="N643" s="1">
        <v>52</v>
      </c>
      <c r="O643" s="1" t="s">
        <v>6773</v>
      </c>
      <c r="P643" s="3" t="str">
        <f>HYPERLINK("http://dx.doi.org/10.1186/s40878-021-00265-x","http://dx.doi.org/10.1186/s40878-021-00265-x")</f>
        <v>http://dx.doi.org/10.1186/s40878-021-00265-x</v>
      </c>
    </row>
    <row r="644" spans="1:16" ht="15.75" customHeight="1">
      <c r="A644" s="1" t="s">
        <v>0</v>
      </c>
      <c r="B644" s="1" t="s">
        <v>1272</v>
      </c>
      <c r="C644" s="1" t="s">
        <v>1273</v>
      </c>
      <c r="D644" s="1" t="s">
        <v>1146</v>
      </c>
      <c r="E644" s="1" t="s">
        <v>1274</v>
      </c>
      <c r="F644" s="1" t="s">
        <v>1275</v>
      </c>
      <c r="G644" s="1">
        <v>91</v>
      </c>
      <c r="H644" s="1">
        <v>20</v>
      </c>
      <c r="I644" s="1">
        <v>2021</v>
      </c>
      <c r="J644" s="1">
        <v>11</v>
      </c>
      <c r="K644" s="1" t="s">
        <v>6</v>
      </c>
      <c r="L644" s="1" t="s">
        <v>6</v>
      </c>
      <c r="M644" s="1" t="s">
        <v>6</v>
      </c>
      <c r="N644" s="1">
        <v>620782</v>
      </c>
      <c r="O644" s="1" t="s">
        <v>1276</v>
      </c>
      <c r="P644" s="3" t="str">
        <f>HYPERLINK("http://dx.doi.org/10.3389/fpsyg.2020.620782","http://dx.doi.org/10.3389/fpsyg.2020.620782")</f>
        <v>http://dx.doi.org/10.3389/fpsyg.2020.620782</v>
      </c>
    </row>
    <row r="645" spans="1:16" ht="15.75" customHeight="1">
      <c r="A645" s="1" t="s">
        <v>0</v>
      </c>
      <c r="B645" s="1" t="s">
        <v>6736</v>
      </c>
      <c r="C645" s="1" t="s">
        <v>6737</v>
      </c>
      <c r="D645" s="1" t="s">
        <v>4804</v>
      </c>
      <c r="E645" s="1" t="s">
        <v>6738</v>
      </c>
      <c r="F645" s="1" t="s">
        <v>6739</v>
      </c>
      <c r="G645" s="1">
        <v>51</v>
      </c>
      <c r="H645" s="1">
        <v>16</v>
      </c>
      <c r="I645" s="1">
        <v>2021</v>
      </c>
      <c r="J645" s="1">
        <v>106</v>
      </c>
      <c r="K645" s="1" t="s">
        <v>6</v>
      </c>
      <c r="L645" s="1">
        <v>57</v>
      </c>
      <c r="M645" s="1">
        <v>87</v>
      </c>
      <c r="N645" s="1" t="s">
        <v>6</v>
      </c>
      <c r="O645" s="1" t="s">
        <v>6740</v>
      </c>
      <c r="P645" s="3" t="str">
        <f>HYPERLINK("http://dx.doi.org/10.7440/colombiaint106.2021.03","http://dx.doi.org/10.7440/colombiaint106.2021.03")</f>
        <v>http://dx.doi.org/10.7440/colombiaint106.2021.03</v>
      </c>
    </row>
    <row r="646" spans="1:16" ht="15.75" customHeight="1">
      <c r="A646" s="1" t="s">
        <v>31</v>
      </c>
      <c r="B646" s="1" t="s">
        <v>5256</v>
      </c>
      <c r="C646" s="1" t="s">
        <v>5257</v>
      </c>
      <c r="D646" s="1" t="s">
        <v>5258</v>
      </c>
      <c r="E646" s="1" t="s">
        <v>5259</v>
      </c>
      <c r="F646" s="1" t="s">
        <v>5260</v>
      </c>
      <c r="H646" s="1">
        <v>14</v>
      </c>
      <c r="I646" s="1">
        <v>2021</v>
      </c>
      <c r="O646" s="1" t="s">
        <v>5261</v>
      </c>
    </row>
    <row r="647" spans="1:16" ht="15.75" customHeight="1">
      <c r="A647" s="1" t="s">
        <v>0</v>
      </c>
      <c r="B647" s="1" t="s">
        <v>915</v>
      </c>
      <c r="C647" s="1" t="s">
        <v>916</v>
      </c>
      <c r="D647" s="1" t="s">
        <v>490</v>
      </c>
      <c r="E647" s="1" t="s">
        <v>917</v>
      </c>
      <c r="F647" s="1" t="s">
        <v>918</v>
      </c>
      <c r="G647" s="1">
        <v>99</v>
      </c>
      <c r="H647" s="1">
        <v>13</v>
      </c>
      <c r="I647" s="1">
        <v>2021</v>
      </c>
      <c r="J647" s="1">
        <v>14</v>
      </c>
      <c r="K647" s="1">
        <v>1</v>
      </c>
      <c r="L647" s="1">
        <v>321</v>
      </c>
      <c r="M647" s="1">
        <v>340</v>
      </c>
      <c r="N647" s="1" t="s">
        <v>6</v>
      </c>
      <c r="O647" s="1" t="s">
        <v>919</v>
      </c>
      <c r="P647" s="3" t="str">
        <f>HYPERLINK("http://dx.doi.org/10.1285/i20356609v14i1p321","http://dx.doi.org/10.1285/i20356609v14i1p321")</f>
        <v>http://dx.doi.org/10.1285/i20356609v14i1p321</v>
      </c>
    </row>
    <row r="648" spans="1:16" ht="15.75" customHeight="1">
      <c r="A648" s="1" t="s">
        <v>10</v>
      </c>
      <c r="B648" s="1" t="s">
        <v>6457</v>
      </c>
      <c r="C648" s="1" t="s">
        <v>6458</v>
      </c>
      <c r="D648" s="1" t="s">
        <v>88</v>
      </c>
      <c r="E648" s="1" t="s">
        <v>6459</v>
      </c>
      <c r="F648" s="1" t="s">
        <v>6460</v>
      </c>
      <c r="H648" s="1">
        <v>13</v>
      </c>
      <c r="I648" s="1">
        <v>2021</v>
      </c>
      <c r="J648" s="1">
        <v>145</v>
      </c>
      <c r="O648" s="1" t="s">
        <v>6461</v>
      </c>
    </row>
    <row r="649" spans="1:16" ht="15.75" customHeight="1">
      <c r="A649" s="1" t="s">
        <v>0</v>
      </c>
      <c r="B649" s="1" t="s">
        <v>2674</v>
      </c>
      <c r="C649" s="1" t="s">
        <v>2675</v>
      </c>
      <c r="D649" s="1" t="s">
        <v>2676</v>
      </c>
      <c r="E649" s="1" t="s">
        <v>2677</v>
      </c>
      <c r="F649" s="1" t="s">
        <v>2678</v>
      </c>
      <c r="G649" s="1">
        <v>98</v>
      </c>
      <c r="H649" s="1">
        <v>13</v>
      </c>
      <c r="I649" s="1">
        <v>2021</v>
      </c>
      <c r="J649" s="1">
        <v>17</v>
      </c>
      <c r="K649" s="1">
        <v>2</v>
      </c>
      <c r="L649" s="1">
        <v>527</v>
      </c>
      <c r="M649" s="1">
        <v>548</v>
      </c>
      <c r="N649" s="1" t="s">
        <v>6</v>
      </c>
      <c r="O649" s="1" t="s">
        <v>2679</v>
      </c>
      <c r="P649" s="3" t="str">
        <f>HYPERLINK("http://dx.doi.org/10.1007/s11365-020-00714-6","http://dx.doi.org/10.1007/s11365-020-00714-6")</f>
        <v>http://dx.doi.org/10.1007/s11365-020-00714-6</v>
      </c>
    </row>
    <row r="650" spans="1:16" ht="15.75" customHeight="1">
      <c r="A650" s="1" t="s">
        <v>10</v>
      </c>
      <c r="B650" s="1" t="s">
        <v>3935</v>
      </c>
      <c r="C650" s="1" t="s">
        <v>3936</v>
      </c>
      <c r="D650" s="1" t="s">
        <v>452</v>
      </c>
      <c r="E650" s="1" t="s">
        <v>3937</v>
      </c>
      <c r="F650" s="1" t="s">
        <v>3938</v>
      </c>
      <c r="H650" s="1">
        <v>10</v>
      </c>
      <c r="I650" s="1">
        <v>2021</v>
      </c>
      <c r="J650" s="1">
        <v>70</v>
      </c>
      <c r="O650" s="1" t="s">
        <v>3939</v>
      </c>
    </row>
    <row r="651" spans="1:16" ht="15.75" customHeight="1">
      <c r="A651" s="1" t="s">
        <v>0</v>
      </c>
      <c r="B651" s="1" t="s">
        <v>3010</v>
      </c>
      <c r="C651" s="1" t="s">
        <v>3011</v>
      </c>
      <c r="D651" s="1" t="s">
        <v>3012</v>
      </c>
      <c r="E651" s="1" t="s">
        <v>3013</v>
      </c>
      <c r="F651" s="1" t="s">
        <v>3014</v>
      </c>
      <c r="G651" s="1">
        <v>35</v>
      </c>
      <c r="H651" s="1">
        <v>10</v>
      </c>
      <c r="I651" s="1">
        <v>2021</v>
      </c>
      <c r="J651" s="1">
        <v>157</v>
      </c>
      <c r="K651" s="1" t="s">
        <v>6</v>
      </c>
      <c r="L651" s="1" t="s">
        <v>6</v>
      </c>
      <c r="M651" s="1" t="s">
        <v>6</v>
      </c>
      <c r="N651" s="1">
        <v>105006</v>
      </c>
      <c r="O651" s="1" t="s">
        <v>3015</v>
      </c>
      <c r="P651" s="3" t="str">
        <f>HYPERLINK("http://dx.doi.org/10.1016/j.appet.2020.105006","http://dx.doi.org/10.1016/j.appet.2020.105006")</f>
        <v>http://dx.doi.org/10.1016/j.appet.2020.105006</v>
      </c>
    </row>
    <row r="652" spans="1:16" ht="15.75" customHeight="1">
      <c r="A652" s="1" t="s">
        <v>0</v>
      </c>
      <c r="B652" s="1" t="s">
        <v>4042</v>
      </c>
      <c r="C652" s="1" t="s">
        <v>4043</v>
      </c>
      <c r="D652" s="1" t="s">
        <v>4044</v>
      </c>
      <c r="E652" s="1" t="s">
        <v>4045</v>
      </c>
      <c r="F652" s="1" t="s">
        <v>4046</v>
      </c>
      <c r="G652" s="1">
        <v>118</v>
      </c>
      <c r="H652" s="1">
        <v>10</v>
      </c>
      <c r="I652" s="1">
        <v>2021</v>
      </c>
      <c r="J652" s="1">
        <v>11</v>
      </c>
      <c r="K652" s="1">
        <v>1</v>
      </c>
      <c r="L652" s="1" t="s">
        <v>6</v>
      </c>
      <c r="M652" s="1" t="s">
        <v>6</v>
      </c>
      <c r="N652" s="1">
        <v>2158244020988526</v>
      </c>
      <c r="O652" s="1" t="s">
        <v>4047</v>
      </c>
      <c r="P652" s="3" t="str">
        <f>HYPERLINK("http://dx.doi.org/10.1177/2158244020988526","http://dx.doi.org/10.1177/2158244020988526")</f>
        <v>http://dx.doi.org/10.1177/2158244020988526</v>
      </c>
    </row>
    <row r="653" spans="1:16" ht="15.75" customHeight="1">
      <c r="A653" s="1" t="s">
        <v>10</v>
      </c>
      <c r="B653" s="1" t="s">
        <v>4808</v>
      </c>
      <c r="C653" s="1" t="s">
        <v>4809</v>
      </c>
      <c r="D653" s="1" t="s">
        <v>4810</v>
      </c>
      <c r="E653" s="1" t="s">
        <v>4811</v>
      </c>
      <c r="F653" s="1" t="s">
        <v>4812</v>
      </c>
      <c r="H653" s="1">
        <v>9</v>
      </c>
      <c r="I653" s="1">
        <v>2021</v>
      </c>
      <c r="J653" s="1">
        <v>31</v>
      </c>
      <c r="K653" s="1">
        <v>4</v>
      </c>
      <c r="O653" s="1" t="s">
        <v>4813</v>
      </c>
    </row>
    <row r="654" spans="1:16" ht="15.75" customHeight="1">
      <c r="A654" s="1" t="s">
        <v>0</v>
      </c>
      <c r="B654" s="1" t="s">
        <v>4030</v>
      </c>
      <c r="C654" s="1" t="s">
        <v>4031</v>
      </c>
      <c r="D654" s="1" t="s">
        <v>4032</v>
      </c>
      <c r="E654" s="1" t="s">
        <v>4033</v>
      </c>
      <c r="F654" s="1" t="s">
        <v>4034</v>
      </c>
      <c r="G654" s="1">
        <v>84</v>
      </c>
      <c r="H654" s="1">
        <v>8</v>
      </c>
      <c r="I654" s="1">
        <v>2021</v>
      </c>
      <c r="J654" s="1">
        <v>67</v>
      </c>
      <c r="K654" s="1" t="s">
        <v>820</v>
      </c>
      <c r="L654" s="1">
        <v>456</v>
      </c>
      <c r="M654" s="1">
        <v>469</v>
      </c>
      <c r="N654" s="1" t="s">
        <v>6</v>
      </c>
      <c r="O654" s="1" t="s">
        <v>4035</v>
      </c>
      <c r="P654" s="3" t="str">
        <f>HYPERLINK("http://dx.doi.org/10.1002/ajcp.12472","http://dx.doi.org/10.1002/ajcp.12472")</f>
        <v>http://dx.doi.org/10.1002/ajcp.12472</v>
      </c>
    </row>
    <row r="655" spans="1:16" ht="15.75" customHeight="1">
      <c r="A655" s="1" t="s">
        <v>10</v>
      </c>
      <c r="B655" s="1" t="s">
        <v>2465</v>
      </c>
      <c r="C655" s="1" t="s">
        <v>2466</v>
      </c>
      <c r="D655" s="1" t="s">
        <v>2467</v>
      </c>
      <c r="E655" s="1" t="s">
        <v>2468</v>
      </c>
      <c r="F655" s="1" t="s">
        <v>2469</v>
      </c>
      <c r="H655" s="1">
        <v>8</v>
      </c>
      <c r="I655" s="1">
        <v>2021</v>
      </c>
      <c r="J655" s="1">
        <v>21</v>
      </c>
      <c r="K655" s="1">
        <v>2</v>
      </c>
      <c r="O655" s="1" t="s">
        <v>2470</v>
      </c>
    </row>
    <row r="656" spans="1:16" ht="15.75" customHeight="1">
      <c r="A656" s="1" t="s">
        <v>0</v>
      </c>
      <c r="B656" s="1" t="s">
        <v>6504</v>
      </c>
      <c r="C656" s="1" t="s">
        <v>6505</v>
      </c>
      <c r="D656" s="1" t="s">
        <v>6506</v>
      </c>
      <c r="E656" s="1" t="s">
        <v>6507</v>
      </c>
      <c r="F656" s="1" t="s">
        <v>6508</v>
      </c>
      <c r="G656" s="1">
        <v>99</v>
      </c>
      <c r="H656" s="1">
        <v>8</v>
      </c>
      <c r="I656" s="1">
        <v>2021</v>
      </c>
      <c r="J656" s="1">
        <v>37</v>
      </c>
      <c r="K656" s="1">
        <v>2</v>
      </c>
      <c r="L656" s="1">
        <v>297</v>
      </c>
      <c r="M656" s="1">
        <v>339</v>
      </c>
      <c r="N656" s="1" t="s">
        <v>6</v>
      </c>
      <c r="O656" s="1" t="s">
        <v>6509</v>
      </c>
      <c r="P656" s="3" t="str">
        <f>HYPERLINK("http://dx.doi.org/10.1007/s10680-020-09569-7","http://dx.doi.org/10.1007/s10680-020-09569-7")</f>
        <v>http://dx.doi.org/10.1007/s10680-020-09569-7</v>
      </c>
    </row>
    <row r="657" spans="1:16" ht="15.75" customHeight="1">
      <c r="A657" s="1" t="s">
        <v>10</v>
      </c>
      <c r="B657" s="1" t="s">
        <v>2332</v>
      </c>
      <c r="C657" s="1" t="s">
        <v>2333</v>
      </c>
      <c r="D657" s="1" t="s">
        <v>858</v>
      </c>
      <c r="E657" s="1" t="s">
        <v>2334</v>
      </c>
      <c r="F657" s="1" t="s">
        <v>2335</v>
      </c>
      <c r="H657" s="1">
        <v>7</v>
      </c>
      <c r="I657" s="1">
        <v>2021</v>
      </c>
      <c r="J657" s="1">
        <v>40</v>
      </c>
      <c r="K657" s="1">
        <v>2</v>
      </c>
      <c r="O657" s="1" t="s">
        <v>2336</v>
      </c>
    </row>
    <row r="658" spans="1:16" ht="15.75" customHeight="1">
      <c r="A658" s="1" t="s">
        <v>10</v>
      </c>
      <c r="B658" s="1" t="s">
        <v>1031</v>
      </c>
      <c r="C658" s="1" t="s">
        <v>1032</v>
      </c>
      <c r="D658" s="1" t="s">
        <v>1033</v>
      </c>
      <c r="E658" s="1" t="s">
        <v>1034</v>
      </c>
      <c r="F658" s="1" t="s">
        <v>1035</v>
      </c>
      <c r="H658" s="1">
        <v>7</v>
      </c>
      <c r="I658" s="1">
        <v>2021</v>
      </c>
      <c r="J658" s="1">
        <v>120</v>
      </c>
      <c r="O658" s="1" t="s">
        <v>1036</v>
      </c>
    </row>
    <row r="659" spans="1:16" ht="15.75" customHeight="1">
      <c r="A659" s="1" t="s">
        <v>10</v>
      </c>
      <c r="B659" s="1" t="s">
        <v>1730</v>
      </c>
      <c r="C659" s="1" t="s">
        <v>1731</v>
      </c>
      <c r="D659" s="1" t="s">
        <v>727</v>
      </c>
      <c r="E659" s="1" t="s">
        <v>1732</v>
      </c>
      <c r="F659" s="1" t="s">
        <v>1733</v>
      </c>
      <c r="H659" s="1">
        <v>7</v>
      </c>
      <c r="I659" s="1">
        <v>2021</v>
      </c>
      <c r="J659" s="1">
        <v>27</v>
      </c>
      <c r="K659" s="1">
        <v>4</v>
      </c>
      <c r="O659" s="1" t="s">
        <v>1734</v>
      </c>
    </row>
    <row r="660" spans="1:16" ht="15.75" customHeight="1">
      <c r="A660" s="1" t="s">
        <v>10</v>
      </c>
      <c r="B660" s="1" t="s">
        <v>5222</v>
      </c>
      <c r="C660" s="1" t="s">
        <v>5223</v>
      </c>
      <c r="D660" s="1" t="s">
        <v>452</v>
      </c>
      <c r="E660" s="1" t="s">
        <v>5224</v>
      </c>
      <c r="F660" s="1" t="s">
        <v>5225</v>
      </c>
      <c r="H660" s="1">
        <v>7</v>
      </c>
      <c r="I660" s="1">
        <v>2021</v>
      </c>
      <c r="J660" s="1">
        <v>70</v>
      </c>
      <c r="O660" s="1" t="s">
        <v>5226</v>
      </c>
    </row>
    <row r="661" spans="1:16" ht="15.75" customHeight="1">
      <c r="A661" s="1" t="s">
        <v>10</v>
      </c>
      <c r="B661" s="1" t="s">
        <v>1138</v>
      </c>
      <c r="C661" s="1" t="s">
        <v>1139</v>
      </c>
      <c r="D661" s="1" t="s">
        <v>1140</v>
      </c>
      <c r="E661" s="1" t="s">
        <v>1141</v>
      </c>
      <c r="F661" s="1" t="s">
        <v>1142</v>
      </c>
      <c r="H661" s="1">
        <v>7</v>
      </c>
      <c r="I661" s="1">
        <v>2021</v>
      </c>
      <c r="J661" s="1">
        <v>43</v>
      </c>
      <c r="O661" s="1" t="s">
        <v>1143</v>
      </c>
    </row>
    <row r="662" spans="1:16" ht="15.75" customHeight="1">
      <c r="A662" s="1" t="s">
        <v>10</v>
      </c>
      <c r="B662" s="1" t="s">
        <v>6774</v>
      </c>
      <c r="C662" s="1" t="s">
        <v>6775</v>
      </c>
      <c r="D662" s="1" t="s">
        <v>6776</v>
      </c>
      <c r="E662" s="1" t="s">
        <v>6777</v>
      </c>
      <c r="F662" s="1" t="s">
        <v>6778</v>
      </c>
      <c r="H662" s="1">
        <v>7</v>
      </c>
      <c r="I662" s="1">
        <v>2021</v>
      </c>
      <c r="J662" s="1">
        <v>46</v>
      </c>
      <c r="K662" s="1">
        <v>3</v>
      </c>
      <c r="O662" s="1" t="s">
        <v>6779</v>
      </c>
    </row>
    <row r="663" spans="1:16" ht="15.75" customHeight="1">
      <c r="A663" s="1" t="s">
        <v>0</v>
      </c>
      <c r="B663" s="1" t="s">
        <v>2298</v>
      </c>
      <c r="C663" s="1" t="s">
        <v>2299</v>
      </c>
      <c r="D663" s="1" t="s">
        <v>2300</v>
      </c>
      <c r="E663" s="1" t="s">
        <v>2301</v>
      </c>
      <c r="F663" s="1" t="s">
        <v>2302</v>
      </c>
      <c r="G663" s="1">
        <v>64</v>
      </c>
      <c r="H663" s="1">
        <v>7</v>
      </c>
      <c r="I663" s="1">
        <v>2021</v>
      </c>
      <c r="J663" s="1">
        <v>3</v>
      </c>
      <c r="K663" s="1" t="s">
        <v>6</v>
      </c>
      <c r="L663" s="1" t="s">
        <v>6</v>
      </c>
      <c r="M663" s="1" t="s">
        <v>6</v>
      </c>
      <c r="N663" s="1">
        <v>606871</v>
      </c>
      <c r="O663" s="1" t="s">
        <v>2303</v>
      </c>
      <c r="P663" s="3" t="str">
        <f>HYPERLINK("http://dx.doi.org/10.3389/fhumd.2021.606871","http://dx.doi.org/10.3389/fhumd.2021.606871")</f>
        <v>http://dx.doi.org/10.3389/fhumd.2021.606871</v>
      </c>
    </row>
    <row r="664" spans="1:16" ht="15.75" customHeight="1">
      <c r="A664" s="1" t="s">
        <v>0</v>
      </c>
      <c r="B664" s="1" t="s">
        <v>730</v>
      </c>
      <c r="C664" s="1" t="s">
        <v>731</v>
      </c>
      <c r="D664" s="1" t="s">
        <v>732</v>
      </c>
      <c r="E664" s="1" t="s">
        <v>733</v>
      </c>
      <c r="F664" s="1" t="s">
        <v>734</v>
      </c>
      <c r="G664" s="1">
        <v>25</v>
      </c>
      <c r="H664" s="1">
        <v>7</v>
      </c>
      <c r="I664" s="1">
        <v>2021</v>
      </c>
      <c r="J664" s="1">
        <v>29</v>
      </c>
      <c r="K664" s="1" t="s">
        <v>735</v>
      </c>
      <c r="O664" s="1" t="s">
        <v>736</v>
      </c>
    </row>
    <row r="665" spans="1:16" ht="15.75" customHeight="1">
      <c r="A665" s="1" t="s">
        <v>0</v>
      </c>
      <c r="B665" s="1" t="s">
        <v>6677</v>
      </c>
      <c r="C665" s="1" t="s">
        <v>6678</v>
      </c>
      <c r="D665" s="1" t="s">
        <v>2339</v>
      </c>
      <c r="E665" s="1" t="s">
        <v>6679</v>
      </c>
      <c r="F665" s="1" t="s">
        <v>6680</v>
      </c>
      <c r="G665" s="1">
        <v>78</v>
      </c>
      <c r="H665" s="1">
        <v>7</v>
      </c>
      <c r="I665" s="1">
        <v>2021</v>
      </c>
      <c r="K665" s="1" t="s">
        <v>2342</v>
      </c>
    </row>
    <row r="666" spans="1:16" ht="15.75" customHeight="1">
      <c r="A666" s="1" t="s">
        <v>0</v>
      </c>
      <c r="B666" s="1" t="s">
        <v>6627</v>
      </c>
      <c r="C666" s="1" t="s">
        <v>6628</v>
      </c>
      <c r="D666" s="1" t="s">
        <v>6629</v>
      </c>
      <c r="E666" s="1" t="s">
        <v>6630</v>
      </c>
      <c r="F666" s="1" t="s">
        <v>6631</v>
      </c>
      <c r="G666" s="1">
        <v>44</v>
      </c>
      <c r="H666" s="1">
        <v>6</v>
      </c>
      <c r="I666" s="1">
        <v>2021</v>
      </c>
      <c r="J666" s="1">
        <v>34</v>
      </c>
      <c r="K666" s="1">
        <v>1</v>
      </c>
      <c r="L666" s="1" t="s">
        <v>6</v>
      </c>
      <c r="M666" s="1" t="s">
        <v>6</v>
      </c>
      <c r="N666" s="1">
        <v>3</v>
      </c>
      <c r="O666" s="1" t="s">
        <v>6632</v>
      </c>
      <c r="P666" s="3" t="str">
        <f>HYPERLINK("http://dx.doi.org/10.1186/s41155-020-00168-3","http://dx.doi.org/10.1186/s41155-020-00168-3")</f>
        <v>http://dx.doi.org/10.1186/s41155-020-00168-3</v>
      </c>
    </row>
    <row r="667" spans="1:16" ht="15.75" customHeight="1">
      <c r="A667" s="1" t="s">
        <v>10</v>
      </c>
      <c r="B667" s="1" t="s">
        <v>1671</v>
      </c>
      <c r="C667" s="1" t="s">
        <v>1672</v>
      </c>
      <c r="D667" s="1" t="s">
        <v>1673</v>
      </c>
      <c r="E667" s="1" t="s">
        <v>1674</v>
      </c>
      <c r="F667" s="1" t="s">
        <v>1675</v>
      </c>
      <c r="H667" s="1">
        <v>6</v>
      </c>
      <c r="I667" s="1">
        <v>2021</v>
      </c>
      <c r="J667" s="1">
        <v>40</v>
      </c>
      <c r="K667" s="1">
        <v>7</v>
      </c>
      <c r="O667" s="1" t="s">
        <v>1676</v>
      </c>
    </row>
    <row r="668" spans="1:16" ht="15.75" customHeight="1">
      <c r="A668" s="1" t="s">
        <v>10</v>
      </c>
      <c r="B668" s="1" t="s">
        <v>4346</v>
      </c>
      <c r="C668" s="1" t="s">
        <v>4347</v>
      </c>
      <c r="D668" s="1" t="s">
        <v>858</v>
      </c>
      <c r="E668" s="1" t="s">
        <v>4348</v>
      </c>
      <c r="F668" s="1" t="s">
        <v>4349</v>
      </c>
      <c r="H668" s="1">
        <v>6</v>
      </c>
      <c r="I668" s="1">
        <v>2021</v>
      </c>
      <c r="J668" s="1">
        <v>40</v>
      </c>
      <c r="K668" s="1">
        <v>2</v>
      </c>
      <c r="O668" s="1" t="s">
        <v>4350</v>
      </c>
    </row>
    <row r="669" spans="1:16" ht="15.75" customHeight="1">
      <c r="A669" s="1" t="s">
        <v>10</v>
      </c>
      <c r="B669" s="1" t="s">
        <v>2961</v>
      </c>
      <c r="C669" s="1" t="s">
        <v>2962</v>
      </c>
      <c r="D669" s="1" t="s">
        <v>1522</v>
      </c>
      <c r="E669" s="1" t="s">
        <v>2963</v>
      </c>
      <c r="F669" s="1" t="s">
        <v>2964</v>
      </c>
      <c r="H669" s="1">
        <v>6</v>
      </c>
      <c r="I669" s="1">
        <v>2021</v>
      </c>
      <c r="K669" s="1">
        <v>66</v>
      </c>
      <c r="O669" s="1" t="s">
        <v>2965</v>
      </c>
    </row>
    <row r="670" spans="1:16" ht="15.75" customHeight="1">
      <c r="A670" s="1" t="s">
        <v>10</v>
      </c>
      <c r="B670" s="1" t="s">
        <v>6396</v>
      </c>
      <c r="C670" s="1" t="s">
        <v>6397</v>
      </c>
      <c r="D670" s="2" t="s">
        <v>418</v>
      </c>
      <c r="E670" s="1" t="s">
        <v>6398</v>
      </c>
      <c r="F670" s="1" t="s">
        <v>6399</v>
      </c>
      <c r="H670" s="1">
        <v>6</v>
      </c>
      <c r="I670" s="1">
        <v>2021</v>
      </c>
      <c r="J670" s="1">
        <v>12</v>
      </c>
      <c r="O670" s="1" t="s">
        <v>6400</v>
      </c>
    </row>
    <row r="671" spans="1:16" ht="15.75" customHeight="1">
      <c r="A671" s="1" t="s">
        <v>0</v>
      </c>
      <c r="B671" s="1" t="s">
        <v>2353</v>
      </c>
      <c r="C671" s="1" t="s">
        <v>2354</v>
      </c>
      <c r="D671" s="1" t="s">
        <v>578</v>
      </c>
      <c r="E671" s="1" t="s">
        <v>2355</v>
      </c>
      <c r="F671" s="1" t="s">
        <v>2356</v>
      </c>
      <c r="G671" s="1">
        <v>84</v>
      </c>
      <c r="H671" s="1">
        <v>6</v>
      </c>
      <c r="I671" s="1">
        <v>2021</v>
      </c>
      <c r="J671" s="1">
        <v>16</v>
      </c>
      <c r="K671" s="1" t="s">
        <v>2357</v>
      </c>
      <c r="O671" s="1" t="s">
        <v>2358</v>
      </c>
    </row>
    <row r="672" spans="1:16" ht="15.75" customHeight="1">
      <c r="A672" s="1" t="s">
        <v>900</v>
      </c>
      <c r="B672" s="1" t="s">
        <v>1374</v>
      </c>
      <c r="C672" s="1" t="s">
        <v>1375</v>
      </c>
      <c r="D672" s="1" t="s">
        <v>1376</v>
      </c>
      <c r="E672" s="1" t="s">
        <v>1377</v>
      </c>
      <c r="F672" s="1" t="s">
        <v>1378</v>
      </c>
      <c r="G672" s="1">
        <v>75</v>
      </c>
      <c r="H672" s="1">
        <v>6</v>
      </c>
      <c r="I672" s="1">
        <v>2021</v>
      </c>
      <c r="J672" s="1">
        <v>176</v>
      </c>
      <c r="K672" s="1" t="s">
        <v>6</v>
      </c>
      <c r="L672" s="1">
        <v>61</v>
      </c>
      <c r="M672" s="1">
        <v>79</v>
      </c>
      <c r="N672" s="1" t="s">
        <v>6</v>
      </c>
      <c r="O672" s="1" t="s">
        <v>1379</v>
      </c>
      <c r="P672" s="3" t="str">
        <f>HYPERLINK("http://dx.doi.org/10.1002/cad.20403","http://dx.doi.org/10.1002/cad.20403")</f>
        <v>http://dx.doi.org/10.1002/cad.20403</v>
      </c>
    </row>
    <row r="673" spans="1:16" ht="15.75" customHeight="1">
      <c r="A673" s="1" t="s">
        <v>0</v>
      </c>
      <c r="B673" s="1" t="s">
        <v>2861</v>
      </c>
      <c r="C673" s="1" t="s">
        <v>2862</v>
      </c>
      <c r="D673" s="1" t="s">
        <v>1146</v>
      </c>
      <c r="E673" s="1" t="s">
        <v>2863</v>
      </c>
      <c r="F673" s="1" t="s">
        <v>2864</v>
      </c>
      <c r="G673" s="1">
        <v>91</v>
      </c>
      <c r="H673" s="1">
        <v>6</v>
      </c>
      <c r="I673" s="1">
        <v>2021</v>
      </c>
      <c r="J673" s="1">
        <v>12</v>
      </c>
      <c r="K673" s="1" t="s">
        <v>6</v>
      </c>
      <c r="L673" s="1" t="s">
        <v>6</v>
      </c>
      <c r="M673" s="1" t="s">
        <v>6</v>
      </c>
      <c r="N673" s="1">
        <v>707101</v>
      </c>
      <c r="O673" s="1" t="s">
        <v>2865</v>
      </c>
      <c r="P673" s="3" t="str">
        <f>HYPERLINK("http://dx.doi.org/10.3389/fpsyg.2021.707101","http://dx.doi.org/10.3389/fpsyg.2021.707101")</f>
        <v>http://dx.doi.org/10.3389/fpsyg.2021.707101</v>
      </c>
    </row>
    <row r="674" spans="1:16" ht="15.75" customHeight="1">
      <c r="A674" s="1" t="s">
        <v>0</v>
      </c>
      <c r="B674" s="1" t="s">
        <v>3727</v>
      </c>
      <c r="C674" s="1" t="s">
        <v>3728</v>
      </c>
      <c r="D674" s="1" t="s">
        <v>3729</v>
      </c>
      <c r="E674" s="1" t="s">
        <v>3730</v>
      </c>
      <c r="F674" s="1" t="s">
        <v>3731</v>
      </c>
      <c r="G674" s="1">
        <v>44</v>
      </c>
      <c r="H674" s="1">
        <v>6</v>
      </c>
      <c r="I674" s="1">
        <v>2021</v>
      </c>
      <c r="J674" s="1">
        <v>19</v>
      </c>
      <c r="K674" s="1">
        <v>3</v>
      </c>
      <c r="L674" s="1">
        <v>19</v>
      </c>
      <c r="M674" s="1">
        <v>31</v>
      </c>
      <c r="N674" s="1" t="s">
        <v>6</v>
      </c>
      <c r="O674" s="1" t="s">
        <v>3732</v>
      </c>
      <c r="P674" s="3" t="str">
        <f>HYPERLINK("http://dx.doi.org/10.15366/reice2021.19.3.002","http://dx.doi.org/10.15366/reice2021.19.3.002")</f>
        <v>http://dx.doi.org/10.15366/reice2021.19.3.002</v>
      </c>
    </row>
    <row r="675" spans="1:16" ht="15.75" customHeight="1">
      <c r="A675" s="1" t="s">
        <v>0</v>
      </c>
      <c r="B675" s="1" t="s">
        <v>1305</v>
      </c>
      <c r="C675" s="1" t="s">
        <v>1316</v>
      </c>
      <c r="D675" s="1" t="s">
        <v>1051</v>
      </c>
      <c r="E675" s="1" t="s">
        <v>1317</v>
      </c>
      <c r="F675" s="1" t="s">
        <v>1318</v>
      </c>
      <c r="G675" s="1">
        <v>44</v>
      </c>
      <c r="H675" s="1">
        <v>5</v>
      </c>
      <c r="I675" s="1">
        <v>2021</v>
      </c>
      <c r="J675" s="1">
        <v>21</v>
      </c>
      <c r="K675" s="1">
        <v>1</v>
      </c>
      <c r="L675" s="1">
        <v>64</v>
      </c>
      <c r="M675" s="1">
        <v>83</v>
      </c>
      <c r="N675" s="1" t="s">
        <v>6</v>
      </c>
      <c r="O675" s="1" t="s">
        <v>1319</v>
      </c>
      <c r="P675" s="3" t="str">
        <f>HYPERLINK("http://dx.doi.org/10.1111/glob.12279","http://dx.doi.org/10.1111/glob.12279")</f>
        <v>http://dx.doi.org/10.1111/glob.12279</v>
      </c>
    </row>
    <row r="676" spans="1:16" ht="15.75" customHeight="1">
      <c r="A676" s="1" t="s">
        <v>0</v>
      </c>
      <c r="B676" s="1" t="s">
        <v>3147</v>
      </c>
      <c r="C676" s="1" t="s">
        <v>3148</v>
      </c>
      <c r="D676" s="1" t="s">
        <v>3149</v>
      </c>
      <c r="E676" s="1" t="s">
        <v>3150</v>
      </c>
      <c r="F676" s="1" t="s">
        <v>3151</v>
      </c>
      <c r="G676" s="1">
        <v>9</v>
      </c>
      <c r="H676" s="1">
        <v>5</v>
      </c>
      <c r="I676" s="1">
        <v>2021</v>
      </c>
      <c r="J676" s="1">
        <v>20</v>
      </c>
      <c r="K676" s="1" t="s">
        <v>2049</v>
      </c>
      <c r="L676" s="1">
        <v>284</v>
      </c>
      <c r="M676" s="1">
        <v>288</v>
      </c>
      <c r="N676" s="1" t="s">
        <v>6</v>
      </c>
      <c r="O676" s="1" t="s">
        <v>3152</v>
      </c>
      <c r="P676" s="3" t="str">
        <f>HYPERLINK("http://dx.doi.org/10.1177/1473325020973363","http://dx.doi.org/10.1177/1473325020973363")</f>
        <v>http://dx.doi.org/10.1177/1473325020973363</v>
      </c>
    </row>
    <row r="677" spans="1:16" ht="15.75" customHeight="1">
      <c r="A677" s="1" t="s">
        <v>0</v>
      </c>
      <c r="B677" s="1" t="s">
        <v>2680</v>
      </c>
      <c r="C677" s="1" t="s">
        <v>2681</v>
      </c>
      <c r="D677" s="1" t="s">
        <v>2676</v>
      </c>
      <c r="E677" s="1" t="s">
        <v>2682</v>
      </c>
      <c r="F677" s="1" t="s">
        <v>2683</v>
      </c>
      <c r="G677" s="1">
        <v>77</v>
      </c>
      <c r="H677" s="1">
        <v>5</v>
      </c>
      <c r="I677" s="1">
        <v>2021</v>
      </c>
      <c r="J677" s="1">
        <v>17</v>
      </c>
      <c r="K677" s="1">
        <v>2</v>
      </c>
      <c r="L677" s="1">
        <v>477</v>
      </c>
      <c r="M677" s="1">
        <v>506</v>
      </c>
      <c r="N677" s="1" t="s">
        <v>6</v>
      </c>
      <c r="O677" s="1" t="s">
        <v>2684</v>
      </c>
      <c r="P677" s="3" t="str">
        <f>HYPERLINK("http://dx.doi.org/10.1007/s11365-021-00754-6","http://dx.doi.org/10.1007/s11365-021-00754-6")</f>
        <v>http://dx.doi.org/10.1007/s11365-021-00754-6</v>
      </c>
    </row>
    <row r="678" spans="1:16" ht="15.75" customHeight="1">
      <c r="A678" s="1" t="s">
        <v>0</v>
      </c>
      <c r="B678" s="1" t="s">
        <v>2240</v>
      </c>
      <c r="C678" s="1" t="s">
        <v>2241</v>
      </c>
      <c r="D678" s="1" t="s">
        <v>2242</v>
      </c>
      <c r="E678" s="1" t="s">
        <v>2243</v>
      </c>
      <c r="F678" s="1" t="s">
        <v>2244</v>
      </c>
      <c r="G678" s="1">
        <v>37</v>
      </c>
      <c r="H678" s="1">
        <v>5</v>
      </c>
      <c r="I678" s="1">
        <v>2021</v>
      </c>
      <c r="J678" s="1">
        <v>18</v>
      </c>
      <c r="K678" s="1">
        <v>4</v>
      </c>
      <c r="L678" s="1">
        <v>487</v>
      </c>
      <c r="M678" s="1">
        <v>496</v>
      </c>
      <c r="N678" s="1" t="s">
        <v>6</v>
      </c>
      <c r="O678" s="1" t="s">
        <v>2245</v>
      </c>
      <c r="P678" s="3" t="str">
        <f>HYPERLINK("http://dx.doi.org/10.33182/ml.v18i4.1234","http://dx.doi.org/10.33182/ml.v18i4.1234")</f>
        <v>http://dx.doi.org/10.33182/ml.v18i4.1234</v>
      </c>
    </row>
    <row r="679" spans="1:16" ht="15.75" customHeight="1">
      <c r="A679" s="1" t="s">
        <v>463</v>
      </c>
      <c r="B679" s="1" t="s">
        <v>2696</v>
      </c>
      <c r="C679" s="1" t="s">
        <v>2701</v>
      </c>
      <c r="D679" s="1" t="s">
        <v>466</v>
      </c>
      <c r="E679" s="1" t="s">
        <v>2702</v>
      </c>
      <c r="F679" s="1" t="s">
        <v>2703</v>
      </c>
      <c r="H679" s="1">
        <v>4</v>
      </c>
      <c r="I679" s="1">
        <v>2021</v>
      </c>
      <c r="J679" s="1" t="s">
        <v>2704</v>
      </c>
      <c r="O679" s="1" t="s">
        <v>2705</v>
      </c>
    </row>
    <row r="680" spans="1:16" ht="15.75" customHeight="1">
      <c r="A680" s="1" t="s">
        <v>10</v>
      </c>
      <c r="B680" s="1" t="s">
        <v>790</v>
      </c>
      <c r="C680" s="1" t="s">
        <v>791</v>
      </c>
      <c r="D680" s="1" t="s">
        <v>792</v>
      </c>
      <c r="E680" s="1" t="s">
        <v>793</v>
      </c>
      <c r="F680" s="1" t="s">
        <v>794</v>
      </c>
      <c r="H680" s="1">
        <v>4</v>
      </c>
      <c r="I680" s="1">
        <v>2021</v>
      </c>
      <c r="J680" s="1">
        <v>2021</v>
      </c>
      <c r="K680" s="1">
        <v>76</v>
      </c>
      <c r="O680" s="1" t="s">
        <v>795</v>
      </c>
    </row>
    <row r="681" spans="1:16" ht="15.75" customHeight="1">
      <c r="A681" s="1" t="s">
        <v>10</v>
      </c>
      <c r="B681" s="1" t="s">
        <v>725</v>
      </c>
      <c r="C681" s="1" t="s">
        <v>726</v>
      </c>
      <c r="D681" s="1" t="s">
        <v>727</v>
      </c>
      <c r="E681" s="1" t="s">
        <v>728</v>
      </c>
      <c r="F681" s="1" t="s">
        <v>729</v>
      </c>
      <c r="H681" s="1">
        <v>4</v>
      </c>
      <c r="I681" s="1">
        <v>2021</v>
      </c>
      <c r="J681" s="1">
        <v>27</v>
      </c>
      <c r="K681" s="1">
        <v>2</v>
      </c>
    </row>
    <row r="682" spans="1:16" ht="15.75" customHeight="1">
      <c r="A682" s="1" t="s">
        <v>0</v>
      </c>
      <c r="B682" s="1" t="s">
        <v>2359</v>
      </c>
      <c r="C682" s="1" t="s">
        <v>2360</v>
      </c>
      <c r="D682" s="1" t="s">
        <v>1864</v>
      </c>
      <c r="E682" s="1" t="s">
        <v>2361</v>
      </c>
      <c r="F682" s="1" t="s">
        <v>2362</v>
      </c>
      <c r="G682" s="1">
        <v>47</v>
      </c>
      <c r="H682" s="1">
        <v>4</v>
      </c>
      <c r="I682" s="1">
        <v>2021</v>
      </c>
      <c r="J682" s="1">
        <v>28</v>
      </c>
      <c r="K682" s="1" t="s">
        <v>378</v>
      </c>
      <c r="O682" s="1" t="s">
        <v>2363</v>
      </c>
    </row>
    <row r="683" spans="1:16" ht="15.75" customHeight="1">
      <c r="A683" s="1" t="s">
        <v>10</v>
      </c>
      <c r="B683" s="1" t="s">
        <v>1283</v>
      </c>
      <c r="C683" s="1" t="s">
        <v>1284</v>
      </c>
      <c r="D683" s="1" t="s">
        <v>1285</v>
      </c>
      <c r="E683" s="1" t="s">
        <v>1286</v>
      </c>
      <c r="F683" s="1" t="s">
        <v>1287</v>
      </c>
      <c r="H683" s="1">
        <v>4</v>
      </c>
      <c r="I683" s="1">
        <v>2021</v>
      </c>
      <c r="J683" s="1">
        <v>25</v>
      </c>
      <c r="K683" s="1">
        <v>1</v>
      </c>
      <c r="O683" s="1" t="s">
        <v>1288</v>
      </c>
    </row>
    <row r="684" spans="1:16" ht="15.75" customHeight="1">
      <c r="A684" s="1" t="s">
        <v>0</v>
      </c>
      <c r="B684" s="1" t="s">
        <v>363</v>
      </c>
      <c r="C684" s="1" t="s">
        <v>364</v>
      </c>
      <c r="D684" s="1" t="s">
        <v>365</v>
      </c>
      <c r="E684" s="1" t="s">
        <v>366</v>
      </c>
      <c r="F684" s="1" t="s">
        <v>367</v>
      </c>
      <c r="G684" s="1">
        <v>35</v>
      </c>
      <c r="H684" s="1">
        <v>4</v>
      </c>
      <c r="I684" s="1">
        <v>2021</v>
      </c>
      <c r="J684" s="1">
        <v>26</v>
      </c>
      <c r="K684" s="1">
        <v>1</v>
      </c>
      <c r="L684" s="1">
        <v>78</v>
      </c>
      <c r="M684" s="1">
        <v>93</v>
      </c>
      <c r="N684" s="1" t="s">
        <v>6</v>
      </c>
      <c r="O684" s="1" t="s">
        <v>368</v>
      </c>
      <c r="P684" s="3" t="str">
        <f>HYPERLINK("http://dx.doi.org/10.1080/15325024.2020.1819020","http://dx.doi.org/10.1080/15325024.2020.1819020")</f>
        <v>http://dx.doi.org/10.1080/15325024.2020.1819020</v>
      </c>
    </row>
    <row r="685" spans="1:16" ht="15.75" customHeight="1">
      <c r="A685" s="1" t="s">
        <v>0</v>
      </c>
      <c r="B685" s="1" t="s">
        <v>3429</v>
      </c>
      <c r="C685" s="1" t="s">
        <v>3430</v>
      </c>
      <c r="D685" s="1" t="s">
        <v>3431</v>
      </c>
      <c r="E685" s="1" t="s">
        <v>3432</v>
      </c>
      <c r="F685" s="1" t="s">
        <v>3433</v>
      </c>
      <c r="G685" s="1">
        <v>42</v>
      </c>
      <c r="H685" s="1">
        <v>4</v>
      </c>
      <c r="I685" s="1">
        <v>2021</v>
      </c>
      <c r="J685" s="1">
        <v>10</v>
      </c>
      <c r="K685" s="1">
        <v>1</v>
      </c>
      <c r="L685" s="1">
        <v>41</v>
      </c>
      <c r="M685" s="1">
        <v>54</v>
      </c>
      <c r="N685" s="1" t="s">
        <v>6</v>
      </c>
      <c r="O685" s="1" t="s">
        <v>3434</v>
      </c>
      <c r="P685" s="3" t="str">
        <f>HYPERLINK("http://dx.doi.org/10.15366/riejs2021.10.1.003","http://dx.doi.org/10.15366/riejs2021.10.1.003")</f>
        <v>http://dx.doi.org/10.15366/riejs2021.10.1.003</v>
      </c>
    </row>
    <row r="686" spans="1:16" ht="15.75" customHeight="1">
      <c r="A686" s="1" t="s">
        <v>0</v>
      </c>
      <c r="B686" s="1" t="s">
        <v>2434</v>
      </c>
      <c r="C686" s="1" t="s">
        <v>2435</v>
      </c>
      <c r="D686" s="1" t="s">
        <v>1146</v>
      </c>
      <c r="E686" s="1" t="s">
        <v>2436</v>
      </c>
      <c r="F686" s="1" t="s">
        <v>2437</v>
      </c>
      <c r="G686" s="1">
        <v>88</v>
      </c>
      <c r="H686" s="1">
        <v>4</v>
      </c>
      <c r="I686" s="1">
        <v>2021</v>
      </c>
      <c r="J686" s="1">
        <v>11</v>
      </c>
      <c r="K686" s="1" t="s">
        <v>6</v>
      </c>
      <c r="L686" s="1" t="s">
        <v>6</v>
      </c>
      <c r="M686" s="1" t="s">
        <v>6</v>
      </c>
      <c r="N686" s="1">
        <v>617465</v>
      </c>
      <c r="O686" s="1" t="s">
        <v>2438</v>
      </c>
      <c r="P686" s="3" t="str">
        <f>HYPERLINK("http://dx.doi.org/10.3389/fpsyg.2020.617465","http://dx.doi.org/10.3389/fpsyg.2020.617465")</f>
        <v>http://dx.doi.org/10.3389/fpsyg.2020.617465</v>
      </c>
    </row>
    <row r="687" spans="1:16" ht="15.75" customHeight="1">
      <c r="A687" s="1" t="s">
        <v>0</v>
      </c>
      <c r="B687" s="1" t="s">
        <v>3849</v>
      </c>
      <c r="C687" s="1" t="s">
        <v>3850</v>
      </c>
      <c r="D687" s="1" t="s">
        <v>2910</v>
      </c>
      <c r="E687" s="1" t="s">
        <v>3851</v>
      </c>
      <c r="F687" s="1" t="s">
        <v>3852</v>
      </c>
      <c r="G687" s="1">
        <v>93</v>
      </c>
      <c r="H687" s="1">
        <v>4</v>
      </c>
      <c r="I687" s="1">
        <v>2021</v>
      </c>
      <c r="J687" s="1">
        <v>22</v>
      </c>
      <c r="K687" s="1" t="s">
        <v>6</v>
      </c>
      <c r="L687" s="1" t="s">
        <v>6</v>
      </c>
      <c r="M687" s="1" t="s">
        <v>6</v>
      </c>
      <c r="N687" s="1" t="s">
        <v>3853</v>
      </c>
      <c r="O687" s="1" t="s">
        <v>3854</v>
      </c>
      <c r="P687" s="3" t="str">
        <f>HYPERLINK("http://dx.doi.org/10.21670/ref.2102065","http://dx.doi.org/10.21670/ref.2102065")</f>
        <v>http://dx.doi.org/10.21670/ref.2102065</v>
      </c>
    </row>
    <row r="688" spans="1:16" ht="15.75" customHeight="1">
      <c r="A688" s="1" t="s">
        <v>0</v>
      </c>
      <c r="B688" s="1" t="s">
        <v>6233</v>
      </c>
      <c r="C688" s="1" t="s">
        <v>6234</v>
      </c>
      <c r="D688" s="1" t="s">
        <v>2664</v>
      </c>
      <c r="E688" s="1" t="s">
        <v>6235</v>
      </c>
      <c r="F688" s="1" t="s">
        <v>6236</v>
      </c>
      <c r="G688" s="1">
        <v>48</v>
      </c>
      <c r="H688" s="1">
        <v>4</v>
      </c>
      <c r="I688" s="1">
        <v>2021</v>
      </c>
      <c r="J688" s="1">
        <v>8</v>
      </c>
      <c r="K688" s="1">
        <v>2</v>
      </c>
      <c r="L688" s="1">
        <v>38</v>
      </c>
      <c r="M688" s="1">
        <v>66</v>
      </c>
      <c r="N688" s="1" t="s">
        <v>6</v>
      </c>
      <c r="O688" s="1" t="s">
        <v>6237</v>
      </c>
      <c r="P688" s="3" t="str">
        <f>HYPERLINK("http://dx.doi.org/10.47456/simbitica.v8i2.36378","http://dx.doi.org/10.47456/simbitica.v8i2.36378")</f>
        <v>http://dx.doi.org/10.47456/simbitica.v8i2.36378</v>
      </c>
    </row>
    <row r="689" spans="1:16" ht="15.75" customHeight="1">
      <c r="A689" s="1" t="s">
        <v>0</v>
      </c>
      <c r="B689" s="1" t="s">
        <v>3289</v>
      </c>
      <c r="C689" s="1" t="s">
        <v>3290</v>
      </c>
      <c r="D689" s="1" t="s">
        <v>3291</v>
      </c>
      <c r="E689" s="1" t="s">
        <v>3292</v>
      </c>
      <c r="F689" s="1" t="s">
        <v>3293</v>
      </c>
      <c r="G689" s="1">
        <v>68</v>
      </c>
      <c r="H689" s="1">
        <v>3</v>
      </c>
      <c r="I689" s="1">
        <v>2021</v>
      </c>
      <c r="J689" s="1">
        <v>39</v>
      </c>
      <c r="K689" s="1">
        <v>2</v>
      </c>
      <c r="L689" s="1">
        <v>849</v>
      </c>
      <c r="M689" s="1">
        <v>880</v>
      </c>
      <c r="N689" s="1" t="s">
        <v>6</v>
      </c>
      <c r="O689" s="1" t="s">
        <v>3294</v>
      </c>
      <c r="P689" s="3" t="str">
        <f>HYPERLINK("http://dx.doi.org/10.18800/psico.202102.012","http://dx.doi.org/10.18800/psico.202102.012")</f>
        <v>http://dx.doi.org/10.18800/psico.202102.012</v>
      </c>
    </row>
    <row r="690" spans="1:16" ht="15.75" customHeight="1">
      <c r="A690" s="1" t="s">
        <v>10</v>
      </c>
      <c r="B690" s="1" t="s">
        <v>5245</v>
      </c>
      <c r="C690" s="1" t="s">
        <v>5246</v>
      </c>
      <c r="D690" s="1" t="s">
        <v>1892</v>
      </c>
      <c r="E690" s="1" t="s">
        <v>5247</v>
      </c>
      <c r="F690" s="1" t="s">
        <v>5248</v>
      </c>
      <c r="H690" s="1">
        <v>3</v>
      </c>
      <c r="I690" s="1">
        <v>2021</v>
      </c>
      <c r="J690" s="1">
        <v>22</v>
      </c>
      <c r="O690" s="1" t="s">
        <v>5249</v>
      </c>
    </row>
    <row r="691" spans="1:16" ht="15.75" customHeight="1">
      <c r="A691" s="1" t="s">
        <v>10</v>
      </c>
      <c r="B691" s="1" t="s">
        <v>4925</v>
      </c>
      <c r="C691" s="1" t="s">
        <v>4926</v>
      </c>
      <c r="D691" s="1" t="s">
        <v>4927</v>
      </c>
      <c r="E691" s="1" t="s">
        <v>4928</v>
      </c>
      <c r="F691" s="1" t="s">
        <v>4929</v>
      </c>
      <c r="H691" s="1">
        <v>3</v>
      </c>
      <c r="I691" s="1">
        <v>2021</v>
      </c>
      <c r="J691" s="1">
        <v>16</v>
      </c>
      <c r="K691" s="1">
        <v>1</v>
      </c>
      <c r="O691" s="1" t="s">
        <v>4930</v>
      </c>
    </row>
    <row r="692" spans="1:16" ht="15.75" customHeight="1">
      <c r="A692" s="1" t="s">
        <v>0</v>
      </c>
      <c r="B692" s="1" t="s">
        <v>3247</v>
      </c>
      <c r="C692" s="1" t="s">
        <v>3248</v>
      </c>
      <c r="D692" s="1" t="s">
        <v>3249</v>
      </c>
      <c r="E692" s="1" t="s">
        <v>3250</v>
      </c>
      <c r="F692" s="1" t="s">
        <v>3251</v>
      </c>
      <c r="G692" s="1">
        <v>44</v>
      </c>
      <c r="H692" s="1">
        <v>3</v>
      </c>
      <c r="I692" s="1">
        <v>2021</v>
      </c>
      <c r="J692" s="1">
        <v>42</v>
      </c>
      <c r="K692" s="1">
        <v>4</v>
      </c>
      <c r="L692" s="1">
        <v>506</v>
      </c>
      <c r="M692" s="1">
        <v>520</v>
      </c>
      <c r="N692" s="1" t="s">
        <v>6</v>
      </c>
      <c r="O692" s="1" t="s">
        <v>3252</v>
      </c>
      <c r="P692" s="3" t="str">
        <f>HYPERLINK("http://dx.doi.org/10.1080/01425692.2021.1872363","http://dx.doi.org/10.1080/01425692.2021.1872363")</f>
        <v>http://dx.doi.org/10.1080/01425692.2021.1872363</v>
      </c>
    </row>
    <row r="693" spans="1:16" ht="15.75" customHeight="1">
      <c r="A693" s="1" t="s">
        <v>10</v>
      </c>
      <c r="B693" s="1" t="s">
        <v>6857</v>
      </c>
      <c r="C693" s="1" t="s">
        <v>6858</v>
      </c>
      <c r="D693" s="1" t="s">
        <v>88</v>
      </c>
      <c r="E693" s="1" t="s">
        <v>6859</v>
      </c>
      <c r="F693" s="1" t="s">
        <v>6860</v>
      </c>
      <c r="H693" s="1">
        <v>3</v>
      </c>
      <c r="I693" s="1">
        <v>2021</v>
      </c>
      <c r="J693" s="1">
        <v>144</v>
      </c>
      <c r="O693" s="1" t="s">
        <v>6861</v>
      </c>
    </row>
    <row r="694" spans="1:16" ht="15.75" customHeight="1">
      <c r="A694" s="1" t="s">
        <v>10</v>
      </c>
      <c r="B694" s="1" t="s">
        <v>2481</v>
      </c>
      <c r="C694" s="1" t="s">
        <v>2482</v>
      </c>
      <c r="D694" s="1" t="s">
        <v>1880</v>
      </c>
      <c r="E694" s="1" t="s">
        <v>2483</v>
      </c>
      <c r="F694" s="1" t="s">
        <v>2484</v>
      </c>
      <c r="H694" s="1">
        <v>3</v>
      </c>
      <c r="I694" s="1">
        <v>2021</v>
      </c>
      <c r="J694" s="1">
        <v>29</v>
      </c>
      <c r="O694" s="1" t="s">
        <v>2485</v>
      </c>
    </row>
    <row r="695" spans="1:16" ht="15.75" customHeight="1">
      <c r="A695" s="1" t="s">
        <v>10</v>
      </c>
      <c r="B695" s="1" t="s">
        <v>5026</v>
      </c>
      <c r="C695" s="1" t="s">
        <v>5027</v>
      </c>
      <c r="D695" s="1" t="s">
        <v>3696</v>
      </c>
      <c r="E695" s="1" t="s">
        <v>5028</v>
      </c>
      <c r="F695" s="1" t="s">
        <v>5029</v>
      </c>
      <c r="H695" s="1">
        <v>3</v>
      </c>
      <c r="I695" s="1">
        <v>2021</v>
      </c>
      <c r="J695" s="1">
        <v>8</v>
      </c>
      <c r="K695" s="1">
        <v>2</v>
      </c>
      <c r="O695" s="1" t="s">
        <v>5030</v>
      </c>
    </row>
    <row r="696" spans="1:16" ht="15.75" customHeight="1">
      <c r="A696" s="1" t="s">
        <v>10</v>
      </c>
      <c r="B696" s="1" t="s">
        <v>5389</v>
      </c>
      <c r="C696" s="1" t="s">
        <v>5390</v>
      </c>
      <c r="D696" s="1" t="s">
        <v>5391</v>
      </c>
      <c r="E696" s="1" t="s">
        <v>5392</v>
      </c>
      <c r="F696" s="1" t="s">
        <v>5393</v>
      </c>
      <c r="H696" s="1">
        <v>3</v>
      </c>
      <c r="I696" s="1">
        <v>2021</v>
      </c>
      <c r="J696" s="1">
        <v>27</v>
      </c>
      <c r="K696" s="1">
        <v>1</v>
      </c>
      <c r="O696" s="1" t="s">
        <v>5394</v>
      </c>
    </row>
    <row r="697" spans="1:16" ht="15.75" customHeight="1">
      <c r="A697" s="1" t="s">
        <v>10</v>
      </c>
      <c r="B697" s="1" t="s">
        <v>5848</v>
      </c>
      <c r="C697" s="1" t="s">
        <v>5853</v>
      </c>
      <c r="D697" s="1" t="s">
        <v>5854</v>
      </c>
      <c r="E697" s="1" t="s">
        <v>5855</v>
      </c>
      <c r="F697" s="1" t="s">
        <v>5856</v>
      </c>
      <c r="H697" s="1">
        <v>3</v>
      </c>
      <c r="I697" s="1">
        <v>2021</v>
      </c>
      <c r="J697" s="1">
        <v>15</v>
      </c>
      <c r="K697" s="1">
        <v>2</v>
      </c>
      <c r="O697" s="1" t="s">
        <v>5857</v>
      </c>
    </row>
    <row r="698" spans="1:16" ht="15.75" customHeight="1">
      <c r="A698" s="1" t="s">
        <v>31</v>
      </c>
      <c r="B698" s="1" t="s">
        <v>620</v>
      </c>
      <c r="C698" s="1" t="s">
        <v>621</v>
      </c>
      <c r="D698" s="1" t="s">
        <v>622</v>
      </c>
      <c r="E698" s="1" t="s">
        <v>623</v>
      </c>
      <c r="F698" s="1" t="s">
        <v>624</v>
      </c>
      <c r="H698" s="1">
        <v>3</v>
      </c>
      <c r="I698" s="1">
        <v>2021</v>
      </c>
      <c r="O698" s="1" t="s">
        <v>625</v>
      </c>
    </row>
    <row r="699" spans="1:16" ht="15.75" customHeight="1">
      <c r="A699" s="1" t="s">
        <v>0</v>
      </c>
      <c r="B699" s="1" t="s">
        <v>4660</v>
      </c>
      <c r="C699" s="1" t="s">
        <v>4661</v>
      </c>
      <c r="D699" s="1" t="s">
        <v>1874</v>
      </c>
      <c r="E699" s="1" t="s">
        <v>4662</v>
      </c>
      <c r="F699" s="1" t="s">
        <v>4663</v>
      </c>
      <c r="G699" s="1">
        <v>75</v>
      </c>
      <c r="H699" s="1">
        <v>3</v>
      </c>
      <c r="I699" s="1">
        <v>2021</v>
      </c>
      <c r="J699" s="1">
        <v>53</v>
      </c>
      <c r="K699" s="1" t="s">
        <v>6</v>
      </c>
      <c r="L699" s="1">
        <v>227</v>
      </c>
      <c r="M699" s="1">
        <v>255</v>
      </c>
      <c r="N699" s="1" t="s">
        <v>6</v>
      </c>
      <c r="O699" s="1" t="s">
        <v>6</v>
      </c>
      <c r="P699" s="1" t="s">
        <v>6</v>
      </c>
    </row>
    <row r="700" spans="1:16" ht="15.75" customHeight="1">
      <c r="A700" s="1" t="s">
        <v>0</v>
      </c>
      <c r="B700" s="1" t="s">
        <v>1992</v>
      </c>
      <c r="C700" s="1" t="s">
        <v>1993</v>
      </c>
      <c r="D700" s="1" t="s">
        <v>58</v>
      </c>
      <c r="E700" s="1" t="s">
        <v>1994</v>
      </c>
      <c r="F700" s="1" t="s">
        <v>1995</v>
      </c>
      <c r="G700" s="1">
        <v>56</v>
      </c>
      <c r="H700" s="1">
        <v>3</v>
      </c>
      <c r="I700" s="1">
        <v>2021</v>
      </c>
      <c r="J700" s="1">
        <v>21</v>
      </c>
      <c r="K700" s="1">
        <v>1</v>
      </c>
      <c r="L700" s="1">
        <v>103</v>
      </c>
      <c r="M700" s="1">
        <v>128</v>
      </c>
      <c r="N700" s="1" t="s">
        <v>6</v>
      </c>
      <c r="O700" s="1" t="s">
        <v>1996</v>
      </c>
      <c r="P700" s="3" t="str">
        <f>HYPERLINK("http://dx.doi.org/10.4067/S0719-09482021000100103","http://dx.doi.org/10.4067/S0719-09482021000100103")</f>
        <v>http://dx.doi.org/10.4067/S0719-09482021000100103</v>
      </c>
    </row>
    <row r="701" spans="1:16" ht="15.75" customHeight="1">
      <c r="A701" s="1" t="s">
        <v>0</v>
      </c>
      <c r="B701" s="1" t="s">
        <v>2337</v>
      </c>
      <c r="C701" s="1" t="s">
        <v>2338</v>
      </c>
      <c r="D701" s="1" t="s">
        <v>2339</v>
      </c>
      <c r="E701" s="1" t="s">
        <v>2340</v>
      </c>
      <c r="F701" s="1" t="s">
        <v>2341</v>
      </c>
      <c r="G701" s="1">
        <v>42</v>
      </c>
      <c r="H701" s="1">
        <v>3</v>
      </c>
      <c r="I701" s="1">
        <v>2021</v>
      </c>
      <c r="K701" s="1" t="s">
        <v>2342</v>
      </c>
    </row>
    <row r="702" spans="1:16" ht="15.75" customHeight="1">
      <c r="A702" s="1" t="s">
        <v>0</v>
      </c>
      <c r="B702" s="1" t="s">
        <v>5117</v>
      </c>
      <c r="C702" s="1" t="s">
        <v>5123</v>
      </c>
      <c r="D702" s="1" t="s">
        <v>201</v>
      </c>
      <c r="E702" s="1" t="s">
        <v>5124</v>
      </c>
      <c r="F702" s="1" t="s">
        <v>5125</v>
      </c>
      <c r="G702" s="1">
        <v>69</v>
      </c>
      <c r="H702" s="1">
        <v>3</v>
      </c>
      <c r="I702" s="1">
        <v>2021</v>
      </c>
      <c r="J702" s="1" t="s">
        <v>6</v>
      </c>
      <c r="K702" s="1">
        <v>67</v>
      </c>
      <c r="L702" s="1" t="s">
        <v>6</v>
      </c>
      <c r="M702" s="1" t="s">
        <v>6</v>
      </c>
      <c r="N702" s="1" t="s">
        <v>5126</v>
      </c>
      <c r="O702" s="1" t="s">
        <v>5127</v>
      </c>
      <c r="P702" s="3" t="str">
        <f>HYPERLINK("http://dx.doi.org/10.22199/issn.0718-1043-2021-0010","http://dx.doi.org/10.22199/issn.0718-1043-2021-0010")</f>
        <v>http://dx.doi.org/10.22199/issn.0718-1043-2021-0010</v>
      </c>
    </row>
    <row r="703" spans="1:16" ht="15.75" customHeight="1">
      <c r="A703" s="1" t="s">
        <v>0</v>
      </c>
      <c r="B703" s="1" t="s">
        <v>2527</v>
      </c>
      <c r="C703" s="2" t="s">
        <v>2528</v>
      </c>
      <c r="D703" s="2" t="s">
        <v>602</v>
      </c>
      <c r="E703" s="1" t="s">
        <v>2529</v>
      </c>
      <c r="F703" s="1" t="s">
        <v>2530</v>
      </c>
      <c r="G703" s="1">
        <v>33</v>
      </c>
      <c r="H703" s="1">
        <v>3</v>
      </c>
      <c r="I703" s="1">
        <v>2021</v>
      </c>
      <c r="J703" s="1">
        <v>36</v>
      </c>
      <c r="K703" s="1" t="s">
        <v>605</v>
      </c>
      <c r="O703" s="1" t="s">
        <v>2531</v>
      </c>
    </row>
    <row r="704" spans="1:16" ht="15.75" customHeight="1">
      <c r="A704" s="1" t="s">
        <v>10</v>
      </c>
      <c r="B704" s="1" t="s">
        <v>1583</v>
      </c>
      <c r="C704" s="1" t="s">
        <v>1584</v>
      </c>
      <c r="D704" s="1" t="s">
        <v>1382</v>
      </c>
      <c r="E704" s="1" t="s">
        <v>1585</v>
      </c>
      <c r="F704" s="1" t="s">
        <v>1586</v>
      </c>
      <c r="H704" s="1">
        <v>2</v>
      </c>
      <c r="I704" s="1">
        <v>2021</v>
      </c>
      <c r="J704" s="1">
        <v>34</v>
      </c>
      <c r="K704" s="1">
        <v>1</v>
      </c>
      <c r="O704" s="1" t="s">
        <v>1587</v>
      </c>
    </row>
    <row r="705" spans="1:16" ht="15.75" customHeight="1">
      <c r="A705" s="1" t="s">
        <v>10</v>
      </c>
      <c r="B705" s="1" t="s">
        <v>221</v>
      </c>
      <c r="C705" s="1" t="s">
        <v>222</v>
      </c>
      <c r="D705" s="1" t="s">
        <v>223</v>
      </c>
      <c r="E705" s="1" t="s">
        <v>224</v>
      </c>
      <c r="F705" s="1" t="s">
        <v>225</v>
      </c>
      <c r="H705" s="1">
        <v>2</v>
      </c>
      <c r="I705" s="1">
        <v>2021</v>
      </c>
      <c r="J705" s="1">
        <v>2021</v>
      </c>
      <c r="K705" s="1">
        <v>81</v>
      </c>
      <c r="O705" s="1" t="s">
        <v>226</v>
      </c>
    </row>
    <row r="706" spans="1:16" ht="15.75" customHeight="1">
      <c r="A706" s="1" t="s">
        <v>10</v>
      </c>
      <c r="B706" s="1" t="s">
        <v>5570</v>
      </c>
      <c r="C706" s="1" t="s">
        <v>5571</v>
      </c>
      <c r="D706" s="1" t="s">
        <v>5572</v>
      </c>
      <c r="E706" s="1" t="s">
        <v>5573</v>
      </c>
      <c r="F706" s="1" t="s">
        <v>5574</v>
      </c>
      <c r="H706" s="1">
        <v>2</v>
      </c>
      <c r="I706" s="1">
        <v>2021</v>
      </c>
      <c r="J706" s="1">
        <v>18</v>
      </c>
      <c r="K706" s="1">
        <v>2</v>
      </c>
      <c r="O706" s="1" t="s">
        <v>5575</v>
      </c>
    </row>
    <row r="707" spans="1:16" ht="15.75" customHeight="1">
      <c r="A707" s="1" t="s">
        <v>0</v>
      </c>
      <c r="B707" s="1" t="s">
        <v>3614</v>
      </c>
      <c r="C707" s="1" t="s">
        <v>3615</v>
      </c>
      <c r="D707" s="1" t="s">
        <v>2513</v>
      </c>
      <c r="E707" s="1" t="s">
        <v>3616</v>
      </c>
      <c r="F707" s="1" t="s">
        <v>3617</v>
      </c>
      <c r="G707" s="1">
        <v>53</v>
      </c>
      <c r="H707" s="1">
        <v>2</v>
      </c>
      <c r="I707" s="1">
        <v>2021</v>
      </c>
      <c r="K707" s="1" t="s">
        <v>3618</v>
      </c>
      <c r="O707" s="1" t="s">
        <v>3619</v>
      </c>
    </row>
    <row r="708" spans="1:16" ht="15.75" customHeight="1">
      <c r="A708" s="1" t="s">
        <v>0</v>
      </c>
      <c r="B708" s="1" t="s">
        <v>80</v>
      </c>
      <c r="C708" s="1" t="s">
        <v>81</v>
      </c>
      <c r="D708" s="1" t="s">
        <v>82</v>
      </c>
      <c r="E708" s="1" t="s">
        <v>83</v>
      </c>
      <c r="F708" s="1" t="s">
        <v>84</v>
      </c>
      <c r="G708" s="1">
        <v>97</v>
      </c>
      <c r="H708" s="1">
        <v>2</v>
      </c>
      <c r="I708" s="1">
        <v>2021</v>
      </c>
      <c r="J708" s="1">
        <v>52</v>
      </c>
      <c r="K708" s="1">
        <v>5</v>
      </c>
      <c r="L708" s="1">
        <v>418</v>
      </c>
      <c r="M708" s="1">
        <v>435</v>
      </c>
      <c r="N708" s="1">
        <v>967010620964676</v>
      </c>
      <c r="O708" s="1" t="s">
        <v>85</v>
      </c>
      <c r="P708" s="3" t="str">
        <f>HYPERLINK("http://dx.doi.org/10.1177/0967010620964676","http://dx.doi.org/10.1177/0967010620964676")</f>
        <v>http://dx.doi.org/10.1177/0967010620964676</v>
      </c>
    </row>
    <row r="709" spans="1:16" ht="15.75" customHeight="1">
      <c r="A709" s="1" t="s">
        <v>0</v>
      </c>
      <c r="B709" s="1" t="s">
        <v>5526</v>
      </c>
      <c r="C709" s="1" t="s">
        <v>5527</v>
      </c>
      <c r="D709" s="1" t="s">
        <v>5528</v>
      </c>
      <c r="E709" s="1" t="s">
        <v>5529</v>
      </c>
      <c r="F709" s="1" t="s">
        <v>5530</v>
      </c>
      <c r="G709" s="1">
        <v>8</v>
      </c>
      <c r="H709" s="1">
        <v>2</v>
      </c>
      <c r="I709" s="1">
        <v>2021</v>
      </c>
      <c r="J709" s="1">
        <v>33</v>
      </c>
      <c r="K709" s="1">
        <v>3</v>
      </c>
      <c r="L709" s="1">
        <v>573</v>
      </c>
      <c r="M709" s="1">
        <v>584</v>
      </c>
      <c r="N709" s="1" t="s">
        <v>6</v>
      </c>
      <c r="O709" s="1" t="s">
        <v>5531</v>
      </c>
      <c r="P709" s="3" t="str">
        <f>HYPERLINK("http://dx.doi.org/10.1080/11356405.2021.1949111","http://dx.doi.org/10.1080/11356405.2021.1949111")</f>
        <v>http://dx.doi.org/10.1080/11356405.2021.1949111</v>
      </c>
    </row>
    <row r="710" spans="1:16" ht="15.75" customHeight="1">
      <c r="A710" s="1" t="s">
        <v>10</v>
      </c>
      <c r="B710" s="1" t="s">
        <v>5173</v>
      </c>
      <c r="C710" s="1" t="s">
        <v>5174</v>
      </c>
      <c r="D710" s="1" t="s">
        <v>1522</v>
      </c>
      <c r="E710" s="1" t="s">
        <v>5175</v>
      </c>
      <c r="F710" s="1" t="s">
        <v>5176</v>
      </c>
      <c r="H710" s="1">
        <v>2</v>
      </c>
      <c r="I710" s="1">
        <v>2021</v>
      </c>
      <c r="K710" s="1">
        <v>65</v>
      </c>
      <c r="O710" s="1" t="s">
        <v>5177</v>
      </c>
    </row>
    <row r="711" spans="1:16" ht="15.75" customHeight="1">
      <c r="A711" s="1" t="s">
        <v>10</v>
      </c>
      <c r="B711" s="1" t="s">
        <v>5010</v>
      </c>
      <c r="C711" s="1" t="s">
        <v>5011</v>
      </c>
      <c r="D711" s="1" t="s">
        <v>1880</v>
      </c>
      <c r="E711" s="1" t="s">
        <v>5012</v>
      </c>
      <c r="F711" s="1" t="s">
        <v>5013</v>
      </c>
      <c r="H711" s="1">
        <v>2</v>
      </c>
      <c r="I711" s="1">
        <v>2021</v>
      </c>
      <c r="J711" s="1">
        <v>29</v>
      </c>
      <c r="O711" s="1" t="s">
        <v>5014</v>
      </c>
    </row>
    <row r="712" spans="1:16" ht="15.75" customHeight="1">
      <c r="A712" s="1" t="s">
        <v>0</v>
      </c>
      <c r="B712" s="1" t="s">
        <v>3721</v>
      </c>
      <c r="C712" s="1" t="s">
        <v>3722</v>
      </c>
      <c r="D712" s="1" t="s">
        <v>3723</v>
      </c>
      <c r="E712" s="1" t="s">
        <v>3724</v>
      </c>
      <c r="F712" s="1" t="s">
        <v>3725</v>
      </c>
      <c r="G712" s="1">
        <v>61</v>
      </c>
      <c r="H712" s="1">
        <v>2</v>
      </c>
      <c r="I712" s="1">
        <v>2021</v>
      </c>
      <c r="J712" s="1">
        <v>35</v>
      </c>
      <c r="K712" s="1">
        <v>2</v>
      </c>
      <c r="L712" s="1">
        <v>248</v>
      </c>
      <c r="M712" s="1">
        <v>267</v>
      </c>
      <c r="N712" s="1" t="s">
        <v>6</v>
      </c>
      <c r="O712" s="1" t="s">
        <v>3726</v>
      </c>
      <c r="P712" s="3" t="str">
        <f>HYPERLINK("http://dx.doi.org/10.1080/02568543.2021.1880997","http://dx.doi.org/10.1080/02568543.2021.1880997")</f>
        <v>http://dx.doi.org/10.1080/02568543.2021.1880997</v>
      </c>
    </row>
    <row r="713" spans="1:16" ht="15.75" customHeight="1">
      <c r="A713" s="1" t="s">
        <v>10</v>
      </c>
      <c r="B713" s="1" t="s">
        <v>1171</v>
      </c>
      <c r="C713" s="1" t="s">
        <v>1172</v>
      </c>
      <c r="D713" s="2" t="s">
        <v>1173</v>
      </c>
      <c r="E713" s="1" t="s">
        <v>1174</v>
      </c>
      <c r="F713" s="1" t="s">
        <v>1175</v>
      </c>
      <c r="H713" s="1">
        <v>2</v>
      </c>
      <c r="I713" s="1">
        <v>2021</v>
      </c>
      <c r="J713" s="1">
        <v>12</v>
      </c>
      <c r="K713" s="1">
        <v>34</v>
      </c>
      <c r="O713" s="1" t="s">
        <v>1176</v>
      </c>
    </row>
    <row r="714" spans="1:16" ht="15.75" customHeight="1">
      <c r="A714" s="1" t="s">
        <v>0</v>
      </c>
      <c r="B714" s="1" t="s">
        <v>7009</v>
      </c>
      <c r="C714" s="1" t="s">
        <v>7010</v>
      </c>
      <c r="D714" s="1" t="s">
        <v>2513</v>
      </c>
      <c r="E714" s="1" t="s">
        <v>7011</v>
      </c>
      <c r="F714" s="1" t="s">
        <v>7012</v>
      </c>
      <c r="G714" s="1">
        <v>51</v>
      </c>
      <c r="H714" s="1">
        <v>2</v>
      </c>
      <c r="I714" s="1">
        <v>2021</v>
      </c>
      <c r="K714" s="1" t="s">
        <v>5063</v>
      </c>
      <c r="O714" s="1" t="s">
        <v>7013</v>
      </c>
    </row>
    <row r="715" spans="1:16" ht="15.75" customHeight="1">
      <c r="A715" s="1" t="s">
        <v>10</v>
      </c>
      <c r="B715" s="1" t="s">
        <v>3417</v>
      </c>
      <c r="C715" s="1" t="s">
        <v>3418</v>
      </c>
      <c r="D715" s="1" t="s">
        <v>3419</v>
      </c>
      <c r="E715" s="1" t="s">
        <v>3420</v>
      </c>
      <c r="F715" s="1" t="s">
        <v>3421</v>
      </c>
      <c r="H715" s="1">
        <v>2</v>
      </c>
      <c r="I715" s="1">
        <v>2021</v>
      </c>
      <c r="J715" s="1">
        <v>41</v>
      </c>
      <c r="K715" s="1">
        <v>1</v>
      </c>
      <c r="O715" s="1" t="s">
        <v>3422</v>
      </c>
    </row>
    <row r="716" spans="1:16" ht="15.75" customHeight="1">
      <c r="A716" s="1" t="s">
        <v>10</v>
      </c>
      <c r="B716" s="1" t="s">
        <v>210</v>
      </c>
      <c r="C716" s="1" t="s">
        <v>211</v>
      </c>
      <c r="D716" s="1" t="s">
        <v>212</v>
      </c>
      <c r="E716" s="1" t="s">
        <v>213</v>
      </c>
      <c r="F716" s="1" t="s">
        <v>214</v>
      </c>
      <c r="H716" s="1">
        <v>2</v>
      </c>
      <c r="I716" s="1">
        <v>2021</v>
      </c>
      <c r="J716" s="1">
        <v>22</v>
      </c>
      <c r="K716" s="1">
        <v>10</v>
      </c>
      <c r="O716" s="1" t="s">
        <v>215</v>
      </c>
    </row>
    <row r="717" spans="1:16" ht="15.75" customHeight="1">
      <c r="A717" s="1" t="s">
        <v>10</v>
      </c>
      <c r="B717" s="1" t="s">
        <v>6037</v>
      </c>
      <c r="C717" s="1"/>
      <c r="D717" s="1" t="s">
        <v>1656</v>
      </c>
      <c r="E717" s="1" t="s">
        <v>6038</v>
      </c>
      <c r="F717" s="1" t="s">
        <v>6039</v>
      </c>
      <c r="H717" s="1">
        <v>2</v>
      </c>
      <c r="I717" s="1">
        <v>2021</v>
      </c>
      <c r="J717" s="1">
        <v>21</v>
      </c>
      <c r="K717" s="1">
        <v>2</v>
      </c>
      <c r="O717" s="1" t="s">
        <v>6040</v>
      </c>
    </row>
    <row r="718" spans="1:16" ht="15.75" customHeight="1">
      <c r="A718" s="1" t="s">
        <v>0</v>
      </c>
      <c r="B718" s="1" t="s">
        <v>6047</v>
      </c>
      <c r="C718" s="1" t="s">
        <v>6048</v>
      </c>
      <c r="D718" s="1" t="s">
        <v>2378</v>
      </c>
      <c r="E718" s="1" t="s">
        <v>6049</v>
      </c>
      <c r="F718" s="1" t="s">
        <v>6050</v>
      </c>
      <c r="G718" s="1">
        <v>63</v>
      </c>
      <c r="H718" s="1">
        <v>2</v>
      </c>
      <c r="I718" s="1">
        <v>2021</v>
      </c>
      <c r="J718" s="1">
        <v>21</v>
      </c>
      <c r="K718" s="1">
        <v>2</v>
      </c>
      <c r="L718" s="1" t="s">
        <v>6</v>
      </c>
      <c r="M718" s="1" t="s">
        <v>6</v>
      </c>
      <c r="N718" s="1" t="s">
        <v>6051</v>
      </c>
      <c r="O718" s="1" t="s">
        <v>6040</v>
      </c>
      <c r="P718" s="3" t="str">
        <f>HYPERLINK("http://dx.doi.org/10.5565/rev/athenea.2836","http://dx.doi.org/10.5565/rev/athenea.2836")</f>
        <v>http://dx.doi.org/10.5565/rev/athenea.2836</v>
      </c>
    </row>
    <row r="719" spans="1:16" ht="15.75" customHeight="1">
      <c r="A719" s="1" t="s">
        <v>0</v>
      </c>
      <c r="B719" s="1" t="s">
        <v>5383</v>
      </c>
      <c r="C719" s="1" t="s">
        <v>5384</v>
      </c>
      <c r="D719" s="1" t="s">
        <v>5385</v>
      </c>
      <c r="E719" s="1" t="s">
        <v>5386</v>
      </c>
      <c r="F719" s="1" t="s">
        <v>5387</v>
      </c>
      <c r="G719" s="1">
        <v>41</v>
      </c>
      <c r="H719" s="1">
        <v>2</v>
      </c>
      <c r="I719" s="1">
        <v>2021</v>
      </c>
      <c r="J719" s="1">
        <v>28</v>
      </c>
      <c r="K719" s="1">
        <v>2</v>
      </c>
      <c r="L719" s="1">
        <v>166</v>
      </c>
      <c r="M719" s="1">
        <v>185</v>
      </c>
      <c r="N719" s="1" t="s">
        <v>6</v>
      </c>
      <c r="O719" s="1" t="s">
        <v>5388</v>
      </c>
      <c r="P719" s="3" t="str">
        <f>HYPERLINK("http://dx.doi.org/10.1080/1070289X.2019.1658394","http://dx.doi.org/10.1080/1070289X.2019.1658394")</f>
        <v>http://dx.doi.org/10.1080/1070289X.2019.1658394</v>
      </c>
    </row>
    <row r="720" spans="1:16" ht="15.75" customHeight="1">
      <c r="A720" s="1" t="s">
        <v>0</v>
      </c>
      <c r="B720" s="1" t="s">
        <v>6215</v>
      </c>
      <c r="C720" s="1" t="s">
        <v>6216</v>
      </c>
      <c r="D720" s="1" t="s">
        <v>578</v>
      </c>
      <c r="E720" s="1" t="s">
        <v>6217</v>
      </c>
      <c r="F720" s="1" t="s">
        <v>6218</v>
      </c>
      <c r="G720" s="1">
        <v>41</v>
      </c>
      <c r="H720" s="1">
        <v>2</v>
      </c>
      <c r="I720" s="1">
        <v>2021</v>
      </c>
      <c r="J720" s="1">
        <v>16</v>
      </c>
      <c r="K720" s="1" t="s">
        <v>882</v>
      </c>
      <c r="O720" s="1" t="s">
        <v>6219</v>
      </c>
    </row>
    <row r="721" spans="1:16" ht="15.75" customHeight="1">
      <c r="A721" s="1" t="s">
        <v>0</v>
      </c>
      <c r="B721" s="1" t="s">
        <v>335</v>
      </c>
      <c r="C721" s="1" t="s">
        <v>336</v>
      </c>
      <c r="D721" s="1" t="s">
        <v>337</v>
      </c>
      <c r="E721" s="1" t="s">
        <v>338</v>
      </c>
      <c r="F721" s="1" t="s">
        <v>339</v>
      </c>
      <c r="G721" s="1">
        <v>26</v>
      </c>
      <c r="H721" s="1">
        <v>2</v>
      </c>
      <c r="I721" s="1">
        <v>2021</v>
      </c>
      <c r="J721" s="1">
        <v>25</v>
      </c>
      <c r="K721" s="1" t="s">
        <v>6</v>
      </c>
      <c r="L721" s="1">
        <v>332</v>
      </c>
      <c r="M721" s="1">
        <v>347</v>
      </c>
      <c r="N721" s="1" t="s">
        <v>6</v>
      </c>
      <c r="O721" s="1" t="s">
        <v>6</v>
      </c>
      <c r="P721" s="1" t="s">
        <v>6</v>
      </c>
    </row>
    <row r="722" spans="1:16" ht="15.75" customHeight="1">
      <c r="A722" s="1" t="s">
        <v>0</v>
      </c>
      <c r="B722" s="1" t="s">
        <v>6616</v>
      </c>
      <c r="C722" s="1" t="s">
        <v>6617</v>
      </c>
      <c r="D722" s="1" t="s">
        <v>6618</v>
      </c>
      <c r="E722" s="1" t="s">
        <v>6619</v>
      </c>
      <c r="F722" s="1" t="s">
        <v>6620</v>
      </c>
      <c r="G722" s="1">
        <v>92</v>
      </c>
      <c r="H722" s="1">
        <v>2</v>
      </c>
      <c r="I722" s="1">
        <v>2021</v>
      </c>
      <c r="J722" s="1">
        <v>54</v>
      </c>
      <c r="K722" s="1">
        <v>1</v>
      </c>
      <c r="L722" s="1">
        <v>75</v>
      </c>
      <c r="M722" s="1">
        <v>93</v>
      </c>
      <c r="N722" s="1" t="s">
        <v>6</v>
      </c>
      <c r="O722" s="1" t="s">
        <v>6621</v>
      </c>
      <c r="P722" s="3" t="str">
        <f>HYPERLINK("http://dx.doi.org/10.2298/PSI200116021U","http://dx.doi.org/10.2298/PSI200116021U")</f>
        <v>http://dx.doi.org/10.2298/PSI200116021U</v>
      </c>
    </row>
    <row r="723" spans="1:16" ht="15.75" customHeight="1">
      <c r="A723" s="1" t="s">
        <v>10</v>
      </c>
      <c r="B723" s="1" t="s">
        <v>3689</v>
      </c>
      <c r="C723" s="1" t="s">
        <v>3690</v>
      </c>
      <c r="D723" s="1" t="s">
        <v>3691</v>
      </c>
      <c r="E723" s="1" t="s">
        <v>3692</v>
      </c>
      <c r="F723" s="1" t="s">
        <v>3693</v>
      </c>
      <c r="H723" s="1">
        <v>2</v>
      </c>
      <c r="I723" s="1">
        <v>2021</v>
      </c>
      <c r="J723" s="1">
        <v>15</v>
      </c>
      <c r="K723" s="1">
        <v>2</v>
      </c>
    </row>
    <row r="724" spans="1:16" ht="15.75" customHeight="1">
      <c r="A724" s="1" t="s">
        <v>0</v>
      </c>
      <c r="B724" s="1" t="s">
        <v>5686</v>
      </c>
      <c r="C724" s="1" t="s">
        <v>5687</v>
      </c>
      <c r="D724" s="1" t="s">
        <v>382</v>
      </c>
      <c r="E724" s="1" t="s">
        <v>5688</v>
      </c>
      <c r="F724" s="1" t="s">
        <v>5689</v>
      </c>
      <c r="G724" s="1">
        <v>30</v>
      </c>
      <c r="H724" s="1">
        <v>2</v>
      </c>
      <c r="I724" s="1">
        <v>2021</v>
      </c>
      <c r="J724" s="1">
        <v>15</v>
      </c>
      <c r="K724" s="1" t="s">
        <v>378</v>
      </c>
    </row>
    <row r="725" spans="1:16" ht="15.75" customHeight="1">
      <c r="A725" s="1" t="s">
        <v>0</v>
      </c>
      <c r="B725" s="1" t="s">
        <v>3047</v>
      </c>
      <c r="C725" s="1" t="s">
        <v>3048</v>
      </c>
      <c r="D725" s="1" t="s">
        <v>3049</v>
      </c>
      <c r="E725" s="1" t="s">
        <v>3050</v>
      </c>
      <c r="F725" s="1" t="s">
        <v>3051</v>
      </c>
      <c r="G725" s="1">
        <v>31</v>
      </c>
      <c r="H725" s="1">
        <v>2</v>
      </c>
      <c r="I725" s="1">
        <v>2021</v>
      </c>
      <c r="J725" s="1" t="s">
        <v>6</v>
      </c>
      <c r="K725" s="1">
        <v>48</v>
      </c>
      <c r="L725" s="1">
        <v>175</v>
      </c>
      <c r="M725" s="1">
        <v>192</v>
      </c>
      <c r="N725" s="1" t="s">
        <v>6</v>
      </c>
      <c r="O725" s="1" t="s">
        <v>3052</v>
      </c>
      <c r="P725" s="3" t="str">
        <f>HYPERLINK("http://dx.doi.org/10.7203/LEEME.48.21700","http://dx.doi.org/10.7203/LEEME.48.21700")</f>
        <v>http://dx.doi.org/10.7203/LEEME.48.21700</v>
      </c>
    </row>
    <row r="726" spans="1:16" ht="15.75" customHeight="1">
      <c r="A726" s="1" t="s">
        <v>0</v>
      </c>
      <c r="B726" s="1" t="s">
        <v>3605</v>
      </c>
      <c r="C726" s="1" t="s">
        <v>3606</v>
      </c>
      <c r="D726" s="1" t="s">
        <v>3565</v>
      </c>
      <c r="E726" s="1" t="s">
        <v>7106</v>
      </c>
      <c r="F726" s="1" t="s">
        <v>3607</v>
      </c>
      <c r="G726" s="1">
        <v>39</v>
      </c>
      <c r="H726" s="1">
        <v>1</v>
      </c>
      <c r="I726" s="1">
        <v>2021</v>
      </c>
      <c r="J726" s="1">
        <v>12</v>
      </c>
      <c r="O726" s="1" t="s">
        <v>3608</v>
      </c>
    </row>
    <row r="727" spans="1:16" ht="15.75" customHeight="1">
      <c r="A727" s="1" t="s">
        <v>10</v>
      </c>
      <c r="B727" s="1" t="s">
        <v>2801</v>
      </c>
      <c r="C727" s="1" t="s">
        <v>2802</v>
      </c>
      <c r="D727" s="1" t="s">
        <v>2467</v>
      </c>
      <c r="E727" s="1" t="s">
        <v>7107</v>
      </c>
      <c r="F727" s="1" t="s">
        <v>2803</v>
      </c>
      <c r="H727" s="1">
        <v>1</v>
      </c>
      <c r="I727" s="1">
        <v>2021</v>
      </c>
      <c r="J727" s="1">
        <v>21</v>
      </c>
      <c r="K727" s="1">
        <v>4</v>
      </c>
      <c r="O727" s="1" t="s">
        <v>2804</v>
      </c>
    </row>
    <row r="728" spans="1:16" ht="15.75" customHeight="1">
      <c r="A728" s="1" t="s">
        <v>10</v>
      </c>
      <c r="B728" s="1" t="s">
        <v>6867</v>
      </c>
      <c r="C728" s="1" t="s">
        <v>6868</v>
      </c>
      <c r="D728" s="1" t="s">
        <v>1243</v>
      </c>
      <c r="E728" s="1" t="s">
        <v>6869</v>
      </c>
      <c r="F728" s="1" t="s">
        <v>6870</v>
      </c>
      <c r="H728" s="1">
        <v>1</v>
      </c>
      <c r="I728" s="1">
        <v>2021</v>
      </c>
      <c r="J728" s="1">
        <v>157</v>
      </c>
      <c r="K728" s="1">
        <v>3</v>
      </c>
      <c r="O728" s="1" t="s">
        <v>6871</v>
      </c>
    </row>
    <row r="729" spans="1:16" ht="15.75" customHeight="1">
      <c r="A729" s="1" t="s">
        <v>463</v>
      </c>
      <c r="B729" s="1" t="s">
        <v>5690</v>
      </c>
      <c r="C729" s="1" t="s">
        <v>5691</v>
      </c>
      <c r="D729" s="1" t="s">
        <v>5692</v>
      </c>
      <c r="E729" s="1" t="s">
        <v>5693</v>
      </c>
      <c r="F729" s="1" t="s">
        <v>5694</v>
      </c>
      <c r="H729" s="1">
        <v>1</v>
      </c>
      <c r="I729" s="1">
        <v>2021</v>
      </c>
      <c r="J729" s="1">
        <v>26</v>
      </c>
      <c r="O729" s="1" t="s">
        <v>5695</v>
      </c>
    </row>
    <row r="730" spans="1:16" ht="15.75" customHeight="1">
      <c r="A730" s="1" t="s">
        <v>0</v>
      </c>
      <c r="B730" s="1" t="s">
        <v>1013</v>
      </c>
      <c r="C730" s="1" t="s">
        <v>1014</v>
      </c>
      <c r="D730" s="1" t="s">
        <v>1015</v>
      </c>
      <c r="E730" s="1" t="s">
        <v>1016</v>
      </c>
      <c r="F730" s="1" t="s">
        <v>1017</v>
      </c>
      <c r="G730" s="1">
        <v>49</v>
      </c>
      <c r="H730" s="1">
        <v>1</v>
      </c>
      <c r="I730" s="1">
        <v>2021</v>
      </c>
      <c r="J730" s="1">
        <v>70</v>
      </c>
      <c r="K730" s="1" t="s">
        <v>6</v>
      </c>
      <c r="L730" s="1">
        <v>33</v>
      </c>
      <c r="M730" s="1">
        <v>60</v>
      </c>
      <c r="N730" s="1" t="s">
        <v>6</v>
      </c>
      <c r="O730" s="1" t="s">
        <v>1018</v>
      </c>
      <c r="P730" s="3" t="str">
        <f>HYPERLINK("http://dx.doi.org/10.30827/meaharabe.v70i0.15250","http://dx.doi.org/10.30827/meaharabe.v70i0.15250")</f>
        <v>http://dx.doi.org/10.30827/meaharabe.v70i0.15250</v>
      </c>
    </row>
    <row r="731" spans="1:16" ht="15.75" customHeight="1">
      <c r="A731" s="1" t="s">
        <v>0</v>
      </c>
      <c r="B731" s="1" t="s">
        <v>1420</v>
      </c>
      <c r="C731" s="1" t="s">
        <v>1421</v>
      </c>
      <c r="D731" s="1" t="s">
        <v>1422</v>
      </c>
      <c r="E731" s="1" t="s">
        <v>1423</v>
      </c>
      <c r="F731" s="1" t="s">
        <v>1424</v>
      </c>
      <c r="G731" s="1">
        <v>81</v>
      </c>
      <c r="H731" s="1">
        <v>1</v>
      </c>
      <c r="I731" s="1">
        <v>2021</v>
      </c>
      <c r="J731" s="1">
        <v>22</v>
      </c>
      <c r="K731" s="1">
        <v>2</v>
      </c>
      <c r="L731" s="1">
        <v>157</v>
      </c>
      <c r="M731" s="1">
        <v>168</v>
      </c>
      <c r="N731" s="1" t="s">
        <v>6</v>
      </c>
      <c r="O731" s="1" t="s">
        <v>1425</v>
      </c>
      <c r="P731" s="3" t="str">
        <f>HYPERLINK("http://dx.doi.org/10.37176/iea.22.2.2021.610","http://dx.doi.org/10.37176/iea.22.2.2021.610")</f>
        <v>http://dx.doi.org/10.37176/iea.22.2.2021.610</v>
      </c>
    </row>
    <row r="732" spans="1:16" ht="15.75" customHeight="1">
      <c r="A732" s="1" t="s">
        <v>31</v>
      </c>
      <c r="B732" s="1" t="s">
        <v>2846</v>
      </c>
      <c r="C732" s="1" t="s">
        <v>2847</v>
      </c>
      <c r="D732" s="1" t="s">
        <v>2847</v>
      </c>
      <c r="E732" s="1" t="s">
        <v>2848</v>
      </c>
      <c r="F732" s="1" t="s">
        <v>2849</v>
      </c>
      <c r="H732" s="1">
        <v>1</v>
      </c>
      <c r="I732" s="1">
        <v>2021</v>
      </c>
      <c r="O732" s="1" t="s">
        <v>2850</v>
      </c>
    </row>
    <row r="733" spans="1:16" ht="15.75" customHeight="1">
      <c r="A733" s="1" t="s">
        <v>0</v>
      </c>
      <c r="B733" s="1" t="s">
        <v>2908</v>
      </c>
      <c r="C733" s="1" t="s">
        <v>2909</v>
      </c>
      <c r="D733" s="1" t="s">
        <v>2910</v>
      </c>
      <c r="E733" s="1" t="s">
        <v>2911</v>
      </c>
      <c r="F733" s="1" t="s">
        <v>2912</v>
      </c>
      <c r="G733" s="1">
        <v>80</v>
      </c>
      <c r="H733" s="1">
        <v>1</v>
      </c>
      <c r="I733" s="1">
        <v>2021</v>
      </c>
      <c r="J733" s="1">
        <v>22</v>
      </c>
      <c r="K733" s="1" t="s">
        <v>6</v>
      </c>
      <c r="L733" s="1" t="s">
        <v>6</v>
      </c>
      <c r="M733" s="1" t="s">
        <v>6</v>
      </c>
      <c r="N733" s="1" t="s">
        <v>2913</v>
      </c>
      <c r="O733" s="1" t="s">
        <v>2914</v>
      </c>
      <c r="P733" s="3" t="str">
        <f>HYPERLINK("http://dx.doi.org/10.21670/ref.2107070","http://dx.doi.org/10.21670/ref.2107070")</f>
        <v>http://dx.doi.org/10.21670/ref.2107070</v>
      </c>
    </row>
    <row r="734" spans="1:16" ht="15.75" customHeight="1">
      <c r="A734" s="1" t="s">
        <v>463</v>
      </c>
      <c r="B734" s="1" t="s">
        <v>6200</v>
      </c>
      <c r="C734" s="1" t="s">
        <v>6201</v>
      </c>
      <c r="D734" s="1" t="s">
        <v>6202</v>
      </c>
      <c r="E734" s="1" t="s">
        <v>6203</v>
      </c>
      <c r="F734" s="1" t="s">
        <v>6204</v>
      </c>
      <c r="H734" s="1">
        <v>1</v>
      </c>
      <c r="I734" s="1">
        <v>2021</v>
      </c>
      <c r="O734" s="1" t="s">
        <v>6205</v>
      </c>
    </row>
    <row r="735" spans="1:16" ht="15.75" customHeight="1">
      <c r="A735" s="1" t="s">
        <v>31</v>
      </c>
      <c r="B735" s="1" t="s">
        <v>2696</v>
      </c>
      <c r="C735" s="1" t="s">
        <v>2706</v>
      </c>
      <c r="D735" s="1" t="s">
        <v>2706</v>
      </c>
      <c r="E735" s="1" t="s">
        <v>2707</v>
      </c>
      <c r="F735" s="1" t="s">
        <v>2708</v>
      </c>
      <c r="H735" s="1">
        <v>1</v>
      </c>
      <c r="I735" s="1">
        <v>2021</v>
      </c>
      <c r="O735" s="1" t="s">
        <v>2709</v>
      </c>
    </row>
    <row r="736" spans="1:16" ht="15.75" customHeight="1">
      <c r="A736" s="1" t="s">
        <v>10</v>
      </c>
      <c r="B736" s="1" t="s">
        <v>5504</v>
      </c>
      <c r="C736" s="1" t="s">
        <v>5505</v>
      </c>
      <c r="D736" s="1" t="s">
        <v>5506</v>
      </c>
      <c r="E736" s="1" t="s">
        <v>5507</v>
      </c>
      <c r="F736" s="1" t="s">
        <v>5508</v>
      </c>
      <c r="H736" s="1">
        <v>1</v>
      </c>
      <c r="I736" s="1">
        <v>2021</v>
      </c>
      <c r="J736" s="1">
        <v>5</v>
      </c>
      <c r="K736" s="1">
        <v>2</v>
      </c>
      <c r="O736" s="1" t="s">
        <v>5509</v>
      </c>
    </row>
    <row r="737" spans="1:16" ht="15.75" customHeight="1">
      <c r="A737" s="1" t="s">
        <v>0</v>
      </c>
      <c r="B737" s="1" t="s">
        <v>6825</v>
      </c>
      <c r="C737" s="1" t="s">
        <v>6826</v>
      </c>
      <c r="D737" s="1" t="s">
        <v>4196</v>
      </c>
      <c r="E737" s="1" t="s">
        <v>6827</v>
      </c>
      <c r="F737" s="1" t="s">
        <v>6828</v>
      </c>
      <c r="G737" s="1">
        <v>67</v>
      </c>
      <c r="H737" s="1">
        <v>1</v>
      </c>
      <c r="I737" s="1">
        <v>2021</v>
      </c>
      <c r="K737" s="1" t="s">
        <v>2558</v>
      </c>
      <c r="O737" s="1" t="s">
        <v>6829</v>
      </c>
    </row>
    <row r="738" spans="1:16" ht="15.75" customHeight="1">
      <c r="A738" s="1" t="s">
        <v>10</v>
      </c>
      <c r="B738" s="1" t="s">
        <v>1896</v>
      </c>
      <c r="C738" s="1" t="s">
        <v>1897</v>
      </c>
      <c r="D738" s="1" t="s">
        <v>1898</v>
      </c>
      <c r="E738" s="1" t="s">
        <v>1899</v>
      </c>
      <c r="F738" s="1" t="s">
        <v>1900</v>
      </c>
      <c r="H738" s="1">
        <v>1</v>
      </c>
      <c r="I738" s="1">
        <v>2021</v>
      </c>
      <c r="J738" s="1">
        <v>48</v>
      </c>
      <c r="K738" s="1">
        <v>88</v>
      </c>
      <c r="O738" s="1" t="s">
        <v>1901</v>
      </c>
    </row>
    <row r="739" spans="1:16" ht="15.75" customHeight="1">
      <c r="A739" s="1" t="s">
        <v>463</v>
      </c>
      <c r="B739" s="1" t="s">
        <v>464</v>
      </c>
      <c r="C739" s="1" t="s">
        <v>465</v>
      </c>
      <c r="D739" s="1" t="s">
        <v>466</v>
      </c>
      <c r="E739" s="1" t="s">
        <v>467</v>
      </c>
      <c r="F739" s="1" t="s">
        <v>468</v>
      </c>
      <c r="H739" s="1">
        <v>1</v>
      </c>
      <c r="I739" s="1">
        <v>2021</v>
      </c>
      <c r="J739" s="1" t="s">
        <v>469</v>
      </c>
      <c r="O739" s="1" t="s">
        <v>470</v>
      </c>
    </row>
    <row r="740" spans="1:16" ht="15.75" customHeight="1">
      <c r="A740" s="1" t="s">
        <v>31</v>
      </c>
      <c r="B740" s="1" t="s">
        <v>438</v>
      </c>
      <c r="C740" s="1" t="s">
        <v>439</v>
      </c>
      <c r="D740" s="1" t="s">
        <v>440</v>
      </c>
      <c r="E740" s="1" t="s">
        <v>441</v>
      </c>
      <c r="F740" s="1" t="s">
        <v>442</v>
      </c>
      <c r="H740" s="1">
        <v>1</v>
      </c>
      <c r="I740" s="1">
        <v>2021</v>
      </c>
      <c r="O740" s="1" t="s">
        <v>443</v>
      </c>
    </row>
    <row r="741" spans="1:16" ht="15.75" customHeight="1">
      <c r="A741" s="1" t="s">
        <v>10</v>
      </c>
      <c r="B741" s="1" t="s">
        <v>357</v>
      </c>
      <c r="C741" s="1" t="s">
        <v>358</v>
      </c>
      <c r="D741" s="1" t="s">
        <v>359</v>
      </c>
      <c r="E741" s="1" t="s">
        <v>360</v>
      </c>
      <c r="F741" s="1" t="s">
        <v>361</v>
      </c>
      <c r="H741" s="1">
        <v>1</v>
      </c>
      <c r="I741" s="1">
        <v>2021</v>
      </c>
      <c r="J741" s="1">
        <v>21</v>
      </c>
      <c r="K741" s="1">
        <v>2</v>
      </c>
      <c r="O741" s="1" t="s">
        <v>362</v>
      </c>
    </row>
    <row r="742" spans="1:16" ht="15.75" customHeight="1">
      <c r="A742" s="1" t="s">
        <v>10</v>
      </c>
      <c r="B742" s="1" t="s">
        <v>4771</v>
      </c>
      <c r="C742" s="1" t="s">
        <v>4772</v>
      </c>
      <c r="D742" s="1" t="s">
        <v>4773</v>
      </c>
      <c r="E742" s="1" t="s">
        <v>4774</v>
      </c>
      <c r="F742" s="1" t="s">
        <v>4775</v>
      </c>
      <c r="H742" s="1">
        <v>1</v>
      </c>
      <c r="I742" s="1">
        <v>2021</v>
      </c>
      <c r="J742" s="1">
        <v>28</v>
      </c>
      <c r="O742" s="1" t="s">
        <v>4776</v>
      </c>
    </row>
    <row r="743" spans="1:16" ht="15.75" customHeight="1">
      <c r="A743" s="1" t="s">
        <v>10</v>
      </c>
      <c r="B743" s="1" t="s">
        <v>5290</v>
      </c>
      <c r="C743" s="1" t="s">
        <v>5291</v>
      </c>
      <c r="D743" s="1" t="s">
        <v>5292</v>
      </c>
      <c r="E743" s="1" t="s">
        <v>5293</v>
      </c>
      <c r="F743" s="1" t="s">
        <v>5294</v>
      </c>
      <c r="H743" s="1">
        <v>1</v>
      </c>
      <c r="I743" s="1">
        <v>2021</v>
      </c>
      <c r="J743" s="1">
        <v>8</v>
      </c>
      <c r="K743" s="1">
        <v>1</v>
      </c>
      <c r="O743" s="1" t="s">
        <v>5295</v>
      </c>
    </row>
    <row r="744" spans="1:16" ht="15.75" customHeight="1">
      <c r="A744" s="1" t="s">
        <v>463</v>
      </c>
      <c r="B744" s="1" t="s">
        <v>5470</v>
      </c>
      <c r="C744" s="1" t="s">
        <v>5471</v>
      </c>
      <c r="D744" s="1" t="s">
        <v>2847</v>
      </c>
      <c r="E744" s="1" t="s">
        <v>5472</v>
      </c>
      <c r="F744" s="1" t="s">
        <v>5473</v>
      </c>
      <c r="H744" s="1">
        <v>1</v>
      </c>
      <c r="I744" s="1">
        <v>2021</v>
      </c>
      <c r="O744" s="1" t="s">
        <v>5474</v>
      </c>
    </row>
    <row r="745" spans="1:16" ht="15.75" customHeight="1">
      <c r="A745" s="1" t="s">
        <v>463</v>
      </c>
      <c r="B745" s="1" t="s">
        <v>2715</v>
      </c>
      <c r="C745" s="1" t="s">
        <v>2720</v>
      </c>
      <c r="D745" s="1" t="s">
        <v>466</v>
      </c>
      <c r="E745" s="1" t="s">
        <v>2721</v>
      </c>
      <c r="F745" s="1" t="s">
        <v>2722</v>
      </c>
      <c r="H745" s="1">
        <v>1</v>
      </c>
      <c r="I745" s="1">
        <v>2021</v>
      </c>
      <c r="J745" s="1" t="s">
        <v>2704</v>
      </c>
      <c r="O745" s="1" t="s">
        <v>2723</v>
      </c>
    </row>
    <row r="746" spans="1:16" ht="15.75" customHeight="1">
      <c r="A746" s="1" t="s">
        <v>10</v>
      </c>
      <c r="B746" s="1" t="s">
        <v>3818</v>
      </c>
      <c r="C746" s="1" t="s">
        <v>3819</v>
      </c>
      <c r="D746" s="1" t="s">
        <v>3820</v>
      </c>
      <c r="E746" s="1" t="s">
        <v>3821</v>
      </c>
      <c r="F746" s="1" t="s">
        <v>3822</v>
      </c>
      <c r="H746" s="1">
        <v>1</v>
      </c>
      <c r="I746" s="1">
        <v>2021</v>
      </c>
      <c r="K746" s="1">
        <v>32</v>
      </c>
      <c r="O746" s="1" t="s">
        <v>3823</v>
      </c>
    </row>
    <row r="747" spans="1:16" ht="15.75" customHeight="1">
      <c r="A747" s="1" t="s">
        <v>10</v>
      </c>
      <c r="B747" s="1" t="s">
        <v>2829</v>
      </c>
      <c r="C747" s="1" t="s">
        <v>2830</v>
      </c>
      <c r="D747" s="1" t="s">
        <v>2831</v>
      </c>
      <c r="E747" s="1" t="s">
        <v>2832</v>
      </c>
      <c r="F747" s="1" t="s">
        <v>2833</v>
      </c>
      <c r="H747" s="1">
        <v>1</v>
      </c>
      <c r="I747" s="1">
        <v>2021</v>
      </c>
      <c r="J747" s="1">
        <v>14</v>
      </c>
      <c r="K747" s="1">
        <v>1</v>
      </c>
      <c r="O747" s="1" t="s">
        <v>2834</v>
      </c>
    </row>
    <row r="748" spans="1:16" ht="15.75" customHeight="1">
      <c r="A748" s="1" t="s">
        <v>10</v>
      </c>
      <c r="B748" s="1" t="s">
        <v>2970</v>
      </c>
      <c r="C748" s="1" t="s">
        <v>2971</v>
      </c>
      <c r="D748" s="1" t="s">
        <v>500</v>
      </c>
      <c r="E748" s="1" t="s">
        <v>2972</v>
      </c>
      <c r="F748" s="1" t="s">
        <v>2973</v>
      </c>
      <c r="H748" s="1">
        <v>1</v>
      </c>
      <c r="I748" s="1">
        <v>2021</v>
      </c>
      <c r="J748" s="1">
        <v>58</v>
      </c>
      <c r="K748" s="1">
        <v>1</v>
      </c>
      <c r="O748" s="1" t="s">
        <v>2974</v>
      </c>
    </row>
    <row r="749" spans="1:16" ht="15.75" customHeight="1">
      <c r="A749" s="1" t="s">
        <v>0</v>
      </c>
      <c r="B749" s="1" t="s">
        <v>3488</v>
      </c>
      <c r="C749" s="1" t="s">
        <v>3489</v>
      </c>
      <c r="D749" s="1" t="s">
        <v>1645</v>
      </c>
      <c r="E749" s="1" t="s">
        <v>3490</v>
      </c>
      <c r="F749" s="1" t="s">
        <v>3491</v>
      </c>
      <c r="G749" s="1">
        <v>58</v>
      </c>
      <c r="H749" s="1">
        <v>1</v>
      </c>
      <c r="I749" s="1">
        <v>2021</v>
      </c>
      <c r="J749" s="1">
        <v>106</v>
      </c>
      <c r="K749" s="1">
        <v>4</v>
      </c>
      <c r="L749" s="1">
        <v>555</v>
      </c>
      <c r="M749" s="1">
        <v>582</v>
      </c>
      <c r="N749" s="1" t="s">
        <v>6</v>
      </c>
      <c r="O749" s="1" t="s">
        <v>3492</v>
      </c>
      <c r="P749" s="3" t="str">
        <f>HYPERLINK("http://dx.doi.org/10.5565/rev/papers.2922","http://dx.doi.org/10.5565/rev/papers.2922")</f>
        <v>http://dx.doi.org/10.5565/rev/papers.2922</v>
      </c>
    </row>
    <row r="750" spans="1:16" ht="15.75" customHeight="1">
      <c r="A750" s="1" t="s">
        <v>0</v>
      </c>
      <c r="B750" s="1" t="s">
        <v>5090</v>
      </c>
      <c r="C750" s="1" t="s">
        <v>5091</v>
      </c>
      <c r="D750" s="1" t="s">
        <v>2513</v>
      </c>
      <c r="E750" s="1" t="s">
        <v>5092</v>
      </c>
      <c r="F750" s="1" t="s">
        <v>5093</v>
      </c>
      <c r="G750" s="1">
        <v>43</v>
      </c>
      <c r="H750" s="1">
        <v>1</v>
      </c>
      <c r="I750" s="1">
        <v>2021</v>
      </c>
      <c r="K750" s="1" t="s">
        <v>5063</v>
      </c>
      <c r="O750" s="1" t="s">
        <v>5094</v>
      </c>
    </row>
    <row r="751" spans="1:16" ht="15.75" customHeight="1">
      <c r="A751" s="1" t="s">
        <v>463</v>
      </c>
      <c r="B751" s="1" t="s">
        <v>2715</v>
      </c>
      <c r="C751" s="1" t="s">
        <v>2716</v>
      </c>
      <c r="D751" s="1" t="s">
        <v>466</v>
      </c>
      <c r="E751" s="1" t="s">
        <v>2717</v>
      </c>
      <c r="F751" s="1" t="s">
        <v>2718</v>
      </c>
      <c r="H751" s="1">
        <v>1</v>
      </c>
      <c r="I751" s="1">
        <v>2021</v>
      </c>
      <c r="J751" s="1" t="s">
        <v>2704</v>
      </c>
      <c r="O751" s="1" t="s">
        <v>2719</v>
      </c>
    </row>
    <row r="752" spans="1:16" ht="15.75" customHeight="1">
      <c r="A752" s="1" t="s">
        <v>10</v>
      </c>
      <c r="B752" s="1" t="s">
        <v>6732</v>
      </c>
      <c r="C752" s="1" t="s">
        <v>6733</v>
      </c>
      <c r="D752" s="1" t="s">
        <v>1440</v>
      </c>
      <c r="E752" s="1" t="s">
        <v>6734</v>
      </c>
      <c r="F752" s="1" t="s">
        <v>6735</v>
      </c>
      <c r="H752" s="1">
        <v>1</v>
      </c>
      <c r="I752" s="1">
        <v>2021</v>
      </c>
      <c r="J752" s="1">
        <v>30</v>
      </c>
      <c r="K752" s="1">
        <v>4</v>
      </c>
    </row>
    <row r="753" spans="1:16" ht="15.75" customHeight="1">
      <c r="A753" s="1" t="s">
        <v>10</v>
      </c>
      <c r="B753" s="1" t="s">
        <v>274</v>
      </c>
      <c r="C753" s="1" t="s">
        <v>275</v>
      </c>
      <c r="D753" s="1" t="s">
        <v>276</v>
      </c>
      <c r="E753" s="1" t="s">
        <v>277</v>
      </c>
      <c r="F753" s="1" t="s">
        <v>278</v>
      </c>
      <c r="H753" s="1">
        <v>1</v>
      </c>
      <c r="I753" s="1">
        <v>2021</v>
      </c>
      <c r="J753" s="1">
        <v>53</v>
      </c>
      <c r="O753" s="1" t="s">
        <v>279</v>
      </c>
    </row>
    <row r="754" spans="1:16" ht="15.75" customHeight="1">
      <c r="A754" s="1" t="s">
        <v>0</v>
      </c>
      <c r="B754" s="1" t="s">
        <v>1267</v>
      </c>
      <c r="C754" s="1" t="s">
        <v>1268</v>
      </c>
      <c r="D754" s="1" t="s">
        <v>1269</v>
      </c>
      <c r="E754" s="1" t="s">
        <v>1270</v>
      </c>
      <c r="F754" s="1" t="s">
        <v>1271</v>
      </c>
      <c r="G754" s="1">
        <v>59</v>
      </c>
      <c r="H754" s="1">
        <v>1</v>
      </c>
      <c r="I754" s="1">
        <v>2021</v>
      </c>
      <c r="J754" s="1">
        <v>7</v>
      </c>
      <c r="K754" s="1" t="s">
        <v>61</v>
      </c>
    </row>
    <row r="755" spans="1:16" ht="15.75" customHeight="1">
      <c r="A755" s="1" t="s">
        <v>0</v>
      </c>
      <c r="B755" s="1" t="s">
        <v>883</v>
      </c>
      <c r="C755" s="1" t="s">
        <v>884</v>
      </c>
      <c r="D755" s="1" t="s">
        <v>885</v>
      </c>
      <c r="E755" s="1" t="s">
        <v>886</v>
      </c>
      <c r="F755" s="1" t="s">
        <v>887</v>
      </c>
      <c r="G755" s="1">
        <v>32</v>
      </c>
      <c r="H755" s="1">
        <v>1</v>
      </c>
      <c r="I755" s="1">
        <v>2021</v>
      </c>
      <c r="J755" s="1">
        <v>56</v>
      </c>
      <c r="K755" s="1" t="s">
        <v>61</v>
      </c>
      <c r="O755" s="1" t="s">
        <v>888</v>
      </c>
    </row>
    <row r="756" spans="1:16" ht="15.75" customHeight="1">
      <c r="A756" s="1" t="s">
        <v>0</v>
      </c>
      <c r="B756" s="1" t="s">
        <v>4496</v>
      </c>
      <c r="C756" s="1" t="s">
        <v>4497</v>
      </c>
      <c r="D756" s="1" t="s">
        <v>1933</v>
      </c>
      <c r="E756" s="1" t="s">
        <v>4498</v>
      </c>
      <c r="F756" s="1" t="s">
        <v>4499</v>
      </c>
      <c r="G756" s="1">
        <v>33</v>
      </c>
      <c r="H756" s="1">
        <v>1</v>
      </c>
      <c r="I756" s="1">
        <v>2021</v>
      </c>
      <c r="J756" s="1">
        <v>47</v>
      </c>
      <c r="K756" s="1">
        <v>142</v>
      </c>
      <c r="L756" s="1">
        <v>165</v>
      </c>
      <c r="M756" s="1">
        <v>184</v>
      </c>
      <c r="N756" s="1" t="s">
        <v>6</v>
      </c>
      <c r="O756" s="1" t="s">
        <v>4500</v>
      </c>
      <c r="P756" s="3" t="str">
        <f>HYPERLINK("http://dx.doi.org/10.7764/eure.47.142.08","http://dx.doi.org/10.7764/eure.47.142.08")</f>
        <v>http://dx.doi.org/10.7764/eure.47.142.08</v>
      </c>
    </row>
    <row r="757" spans="1:16" ht="15.75" customHeight="1">
      <c r="A757" s="1" t="s">
        <v>0</v>
      </c>
      <c r="B757" s="1" t="s">
        <v>2748</v>
      </c>
      <c r="C757" s="1" t="s">
        <v>2749</v>
      </c>
      <c r="D757" s="1" t="s">
        <v>2664</v>
      </c>
      <c r="E757" s="8" t="s">
        <v>7122</v>
      </c>
      <c r="F757" s="1" t="s">
        <v>6</v>
      </c>
      <c r="G757" s="1">
        <v>26</v>
      </c>
      <c r="H757" s="1">
        <v>0</v>
      </c>
      <c r="I757" s="1">
        <v>2021</v>
      </c>
      <c r="J757" s="1">
        <v>8</v>
      </c>
      <c r="K757" s="1">
        <v>2</v>
      </c>
      <c r="L757" s="1">
        <v>1</v>
      </c>
      <c r="M757" s="1">
        <v>10</v>
      </c>
      <c r="N757" s="1" t="s">
        <v>6</v>
      </c>
      <c r="O757" s="1" t="s">
        <v>2750</v>
      </c>
      <c r="P757" s="3" t="str">
        <f>HYPERLINK("http://dx.doi.org/10.47456/simbitica.v8i2.36376","http://dx.doi.org/10.47456/simbitica.v8i2.36376")</f>
        <v>http://dx.doi.org/10.47456/simbitica.v8i2.36376</v>
      </c>
    </row>
    <row r="758" spans="1:16" ht="15.75" customHeight="1">
      <c r="A758" s="1" t="s">
        <v>10</v>
      </c>
      <c r="B758" s="1" t="s">
        <v>3392</v>
      </c>
      <c r="C758" s="1" t="s">
        <v>3393</v>
      </c>
      <c r="D758" s="1" t="s">
        <v>1285</v>
      </c>
      <c r="E758" s="1" t="s">
        <v>3394</v>
      </c>
      <c r="F758" s="1" t="s">
        <v>1767</v>
      </c>
      <c r="H758" s="1">
        <v>0</v>
      </c>
      <c r="I758" s="1">
        <v>2021</v>
      </c>
      <c r="J758" s="1">
        <v>25</v>
      </c>
      <c r="K758" s="1">
        <v>6</v>
      </c>
      <c r="O758" s="1" t="s">
        <v>3395</v>
      </c>
    </row>
    <row r="759" spans="1:16" ht="15.75" customHeight="1">
      <c r="A759" s="1" t="s">
        <v>0</v>
      </c>
      <c r="B759" s="1" t="s">
        <v>5250</v>
      </c>
      <c r="C759" s="1" t="s">
        <v>5251</v>
      </c>
      <c r="D759" s="1" t="s">
        <v>5252</v>
      </c>
      <c r="E759" s="1" t="s">
        <v>5253</v>
      </c>
      <c r="F759" s="1" t="s">
        <v>5254</v>
      </c>
      <c r="G759" s="1">
        <v>33</v>
      </c>
      <c r="H759" s="1">
        <v>0</v>
      </c>
      <c r="I759" s="1">
        <v>2021</v>
      </c>
      <c r="J759" s="1">
        <v>10</v>
      </c>
      <c r="K759" s="1">
        <v>8</v>
      </c>
      <c r="L759" s="1" t="s">
        <v>6</v>
      </c>
      <c r="M759" s="1" t="s">
        <v>6</v>
      </c>
      <c r="N759" s="1">
        <v>293</v>
      </c>
      <c r="O759" s="1" t="s">
        <v>5255</v>
      </c>
      <c r="P759" s="3" t="str">
        <f>HYPERLINK("http://dx.doi.org/10.3390/socsci10080293","http://dx.doi.org/10.3390/socsci10080293")</f>
        <v>http://dx.doi.org/10.3390/socsci10080293</v>
      </c>
    </row>
    <row r="760" spans="1:16" ht="15.75" customHeight="1">
      <c r="A760" s="1" t="s">
        <v>0</v>
      </c>
      <c r="B760" s="1" t="s">
        <v>5521</v>
      </c>
      <c r="C760" s="1" t="s">
        <v>5522</v>
      </c>
      <c r="D760" s="1" t="s">
        <v>996</v>
      </c>
      <c r="E760" s="1" t="s">
        <v>5523</v>
      </c>
      <c r="F760" s="1" t="s">
        <v>5524</v>
      </c>
      <c r="G760" s="1">
        <v>81</v>
      </c>
      <c r="H760" s="1">
        <v>0</v>
      </c>
      <c r="I760" s="1">
        <v>2021</v>
      </c>
      <c r="J760" s="1">
        <v>31</v>
      </c>
      <c r="K760" s="1">
        <v>1</v>
      </c>
      <c r="L760" s="1">
        <v>522</v>
      </c>
      <c r="M760" s="1">
        <v>547</v>
      </c>
      <c r="N760" s="1" t="s">
        <v>6</v>
      </c>
      <c r="O760" s="1" t="s">
        <v>5525</v>
      </c>
      <c r="P760" s="3" t="str">
        <f>HYPERLINK("http://dx.doi.org/10.7770/CUHSO-V31N1.ART2148","http://dx.doi.org/10.7770/CUHSO-V31N1.ART2148")</f>
        <v>http://dx.doi.org/10.7770/CUHSO-V31N1.ART2148</v>
      </c>
    </row>
    <row r="761" spans="1:16" ht="15.75" customHeight="1">
      <c r="A761" s="1" t="s">
        <v>0</v>
      </c>
      <c r="B761" s="1" t="s">
        <v>234</v>
      </c>
      <c r="C761" s="1" t="s">
        <v>235</v>
      </c>
      <c r="D761" s="1" t="s">
        <v>236</v>
      </c>
      <c r="E761" s="1" t="s">
        <v>237</v>
      </c>
      <c r="F761" s="1" t="s">
        <v>238</v>
      </c>
      <c r="G761" s="1">
        <v>41</v>
      </c>
      <c r="H761" s="1">
        <v>0</v>
      </c>
      <c r="I761" s="1">
        <v>2021</v>
      </c>
      <c r="J761" s="1">
        <v>44</v>
      </c>
      <c r="K761" s="1">
        <v>1</v>
      </c>
      <c r="L761" s="1" t="s">
        <v>6</v>
      </c>
      <c r="M761" s="1" t="s">
        <v>6</v>
      </c>
      <c r="N761" s="1" t="s">
        <v>6</v>
      </c>
      <c r="O761" s="1" t="s">
        <v>6</v>
      </c>
      <c r="P761" s="1" t="s">
        <v>6</v>
      </c>
    </row>
    <row r="762" spans="1:16" ht="15.75" customHeight="1">
      <c r="A762" s="1" t="s">
        <v>0</v>
      </c>
      <c r="B762" s="1" t="s">
        <v>4439</v>
      </c>
      <c r="C762" s="1" t="s">
        <v>4440</v>
      </c>
      <c r="D762" s="1" t="s">
        <v>4441</v>
      </c>
      <c r="E762" s="1" t="s">
        <v>4442</v>
      </c>
      <c r="F762" s="1" t="s">
        <v>4443</v>
      </c>
      <c r="G762" s="1">
        <v>32</v>
      </c>
      <c r="H762" s="1">
        <v>0</v>
      </c>
      <c r="I762" s="1">
        <v>2021</v>
      </c>
      <c r="J762" s="1">
        <v>27</v>
      </c>
      <c r="K762" s="1">
        <v>2</v>
      </c>
      <c r="L762" s="1">
        <v>199</v>
      </c>
      <c r="M762" s="1">
        <v>209</v>
      </c>
      <c r="N762" s="1" t="s">
        <v>6</v>
      </c>
      <c r="O762" s="1" t="s">
        <v>4444</v>
      </c>
      <c r="P762" s="3" t="str">
        <f>HYPERLINK("http://dx.doi.org/10.5093/psed2021a6","http://dx.doi.org/10.5093/psed2021a6")</f>
        <v>http://dx.doi.org/10.5093/psed2021a6</v>
      </c>
    </row>
    <row r="763" spans="1:16" ht="15.75" customHeight="1">
      <c r="A763" s="1" t="s">
        <v>10</v>
      </c>
      <c r="B763" s="1" t="s">
        <v>2991</v>
      </c>
      <c r="C763" s="1" t="s">
        <v>2992</v>
      </c>
      <c r="D763" s="1" t="s">
        <v>2993</v>
      </c>
      <c r="E763" s="1" t="s">
        <v>2994</v>
      </c>
      <c r="F763" s="1" t="s">
        <v>2995</v>
      </c>
      <c r="H763" s="1">
        <v>0</v>
      </c>
      <c r="I763" s="1">
        <v>2021</v>
      </c>
      <c r="J763" s="1">
        <v>19</v>
      </c>
      <c r="K763" s="1" t="s">
        <v>2996</v>
      </c>
      <c r="O763" s="1" t="s">
        <v>2997</v>
      </c>
    </row>
    <row r="764" spans="1:16" ht="15.75" customHeight="1">
      <c r="A764" s="1" t="s">
        <v>0</v>
      </c>
      <c r="B764" s="1" t="s">
        <v>2574</v>
      </c>
      <c r="C764" s="1" t="s">
        <v>2575</v>
      </c>
      <c r="D764" s="1" t="s">
        <v>1864</v>
      </c>
      <c r="E764" s="1" t="s">
        <v>2576</v>
      </c>
      <c r="F764" s="1" t="s">
        <v>2577</v>
      </c>
      <c r="G764" s="1">
        <v>81</v>
      </c>
      <c r="H764" s="1">
        <v>0</v>
      </c>
      <c r="I764" s="1">
        <v>2021</v>
      </c>
      <c r="J764" s="1">
        <v>28</v>
      </c>
      <c r="K764" s="1" t="s">
        <v>378</v>
      </c>
      <c r="O764" s="1" t="s">
        <v>2578</v>
      </c>
    </row>
    <row r="765" spans="1:16" ht="15.75" customHeight="1">
      <c r="A765" s="1" t="s">
        <v>463</v>
      </c>
      <c r="B765" s="1" t="s">
        <v>2724</v>
      </c>
      <c r="C765" s="1" t="s">
        <v>2725</v>
      </c>
      <c r="D765" s="1" t="s">
        <v>2706</v>
      </c>
      <c r="E765" s="1" t="s">
        <v>2726</v>
      </c>
      <c r="F765" s="1" t="s">
        <v>2727</v>
      </c>
      <c r="H765" s="1">
        <v>0</v>
      </c>
      <c r="I765" s="1">
        <v>2021</v>
      </c>
      <c r="O765" s="1" t="s">
        <v>2728</v>
      </c>
    </row>
    <row r="766" spans="1:16" ht="15.75" customHeight="1">
      <c r="A766" s="1" t="s">
        <v>463</v>
      </c>
      <c r="B766" s="1" t="s">
        <v>2710</v>
      </c>
      <c r="C766" s="1" t="s">
        <v>2711</v>
      </c>
      <c r="D766" s="1" t="s">
        <v>2706</v>
      </c>
      <c r="E766" s="1" t="s">
        <v>2712</v>
      </c>
      <c r="F766" s="1" t="s">
        <v>2713</v>
      </c>
      <c r="H766" s="1">
        <v>0</v>
      </c>
      <c r="I766" s="1">
        <v>2021</v>
      </c>
      <c r="O766" s="1" t="s">
        <v>2714</v>
      </c>
    </row>
    <row r="767" spans="1:16" ht="15.75" customHeight="1">
      <c r="A767" s="1" t="s">
        <v>0</v>
      </c>
      <c r="B767" s="1" t="s">
        <v>2805</v>
      </c>
      <c r="C767" s="1" t="s">
        <v>2806</v>
      </c>
      <c r="D767" s="1" t="s">
        <v>2807</v>
      </c>
      <c r="E767" s="1" t="s">
        <v>2808</v>
      </c>
      <c r="F767" s="1" t="s">
        <v>2809</v>
      </c>
      <c r="G767" s="1">
        <v>74</v>
      </c>
      <c r="H767" s="1">
        <v>0</v>
      </c>
      <c r="I767" s="1">
        <v>2021</v>
      </c>
      <c r="K767" s="1" t="s">
        <v>2810</v>
      </c>
      <c r="O767" s="1" t="s">
        <v>2811</v>
      </c>
    </row>
    <row r="768" spans="1:16" ht="15.75" customHeight="1">
      <c r="A768" s="1" t="s">
        <v>0</v>
      </c>
      <c r="B768" s="1" t="s">
        <v>2347</v>
      </c>
      <c r="C768" s="1" t="s">
        <v>2348</v>
      </c>
      <c r="D768" s="1" t="s">
        <v>201</v>
      </c>
      <c r="E768" s="1" t="s">
        <v>2349</v>
      </c>
      <c r="F768" s="1" t="s">
        <v>2350</v>
      </c>
      <c r="G768" s="1">
        <v>51</v>
      </c>
      <c r="H768" s="1">
        <v>0</v>
      </c>
      <c r="I768" s="1">
        <v>2021</v>
      </c>
      <c r="J768" s="1" t="s">
        <v>6</v>
      </c>
      <c r="K768" s="1">
        <v>67</v>
      </c>
      <c r="L768" s="1" t="s">
        <v>6</v>
      </c>
      <c r="M768" s="1" t="s">
        <v>6</v>
      </c>
      <c r="N768" s="1" t="s">
        <v>2351</v>
      </c>
      <c r="O768" s="1" t="s">
        <v>2352</v>
      </c>
      <c r="P768" s="3" t="str">
        <f>HYPERLINK("http://dx.doi.org/10.22199/issn.0718-1043-2021-0006","http://dx.doi.org/10.22199/issn.0718-1043-2021-0006")</f>
        <v>http://dx.doi.org/10.22199/issn.0718-1043-2021-0006</v>
      </c>
    </row>
    <row r="769" spans="1:16" ht="15.75" customHeight="1">
      <c r="A769" s="1" t="s">
        <v>0</v>
      </c>
      <c r="B769" s="1" t="s">
        <v>6479</v>
      </c>
      <c r="C769" s="1" t="s">
        <v>6480</v>
      </c>
      <c r="D769" s="1" t="s">
        <v>2022</v>
      </c>
      <c r="E769" s="1" t="s">
        <v>6481</v>
      </c>
      <c r="F769" s="1" t="s">
        <v>6482</v>
      </c>
      <c r="G769" s="1">
        <v>91</v>
      </c>
      <c r="H769" s="1">
        <v>0</v>
      </c>
      <c r="I769" s="1">
        <v>2021</v>
      </c>
      <c r="J769" s="1" t="s">
        <v>6</v>
      </c>
      <c r="K769" s="1">
        <v>79</v>
      </c>
      <c r="L769" s="1">
        <v>9</v>
      </c>
      <c r="M769" s="1">
        <v>32</v>
      </c>
      <c r="N769" s="1" t="s">
        <v>6</v>
      </c>
      <c r="O769" s="1" t="s">
        <v>6</v>
      </c>
      <c r="P769" s="1" t="s">
        <v>6</v>
      </c>
    </row>
    <row r="770" spans="1:16" ht="15.75" customHeight="1">
      <c r="A770" s="1" t="s">
        <v>10</v>
      </c>
      <c r="B770" s="1" t="s">
        <v>2142</v>
      </c>
      <c r="C770" s="1" t="s">
        <v>2143</v>
      </c>
      <c r="D770" s="1" t="s">
        <v>1522</v>
      </c>
      <c r="E770" s="1" t="s">
        <v>2144</v>
      </c>
      <c r="F770" s="1" t="s">
        <v>2145</v>
      </c>
      <c r="H770" s="1">
        <v>0</v>
      </c>
      <c r="I770" s="1">
        <v>2021</v>
      </c>
      <c r="K770" s="1">
        <v>66</v>
      </c>
      <c r="O770" s="1" t="s">
        <v>2146</v>
      </c>
    </row>
    <row r="771" spans="1:16" ht="15.75" customHeight="1">
      <c r="A771" s="1" t="s">
        <v>463</v>
      </c>
      <c r="B771" s="1" t="s">
        <v>3402</v>
      </c>
      <c r="C771" s="1" t="s">
        <v>3403</v>
      </c>
      <c r="D771" s="1" t="s">
        <v>3404</v>
      </c>
      <c r="E771" s="1" t="s">
        <v>3405</v>
      </c>
      <c r="F771" s="1" t="s">
        <v>3406</v>
      </c>
      <c r="H771" s="1">
        <v>0</v>
      </c>
      <c r="I771" s="1">
        <v>2021</v>
      </c>
      <c r="O771" s="1" t="s">
        <v>3407</v>
      </c>
    </row>
    <row r="772" spans="1:16" ht="15.75" customHeight="1">
      <c r="A772" s="1" t="s">
        <v>10</v>
      </c>
      <c r="B772" s="1" t="s">
        <v>292</v>
      </c>
      <c r="C772" s="1" t="s">
        <v>293</v>
      </c>
      <c r="D772" s="1" t="s">
        <v>294</v>
      </c>
      <c r="E772" s="1" t="s">
        <v>295</v>
      </c>
      <c r="F772" s="1" t="s">
        <v>296</v>
      </c>
      <c r="H772" s="1">
        <v>0</v>
      </c>
      <c r="I772" s="1">
        <v>2021</v>
      </c>
      <c r="J772" s="1">
        <v>51</v>
      </c>
      <c r="O772" s="1" t="s">
        <v>297</v>
      </c>
    </row>
    <row r="773" spans="1:16" ht="15.75" customHeight="1">
      <c r="A773" s="1" t="s">
        <v>10</v>
      </c>
      <c r="B773" s="1" t="s">
        <v>1532</v>
      </c>
      <c r="C773" s="1" t="s">
        <v>1533</v>
      </c>
      <c r="D773" s="1" t="s">
        <v>1534</v>
      </c>
      <c r="E773" s="1" t="s">
        <v>1535</v>
      </c>
      <c r="F773" s="1" t="s">
        <v>1536</v>
      </c>
      <c r="H773" s="1">
        <v>0</v>
      </c>
      <c r="I773" s="1">
        <v>2021</v>
      </c>
      <c r="J773" s="1">
        <v>34</v>
      </c>
      <c r="O773" s="1" t="s">
        <v>1537</v>
      </c>
    </row>
    <row r="774" spans="1:16" ht="15.75" customHeight="1">
      <c r="A774" s="1" t="s">
        <v>0</v>
      </c>
      <c r="B774" s="1" t="s">
        <v>5000</v>
      </c>
      <c r="C774" s="1" t="s">
        <v>5001</v>
      </c>
      <c r="D774" s="1" t="s">
        <v>52</v>
      </c>
      <c r="E774" s="1" t="s">
        <v>5002</v>
      </c>
      <c r="F774" s="1" t="s">
        <v>5003</v>
      </c>
      <c r="G774" s="1">
        <v>36</v>
      </c>
      <c r="H774" s="1">
        <v>0</v>
      </c>
      <c r="I774" s="1">
        <v>2021</v>
      </c>
      <c r="J774" s="1">
        <v>20</v>
      </c>
      <c r="K774" s="1" t="s">
        <v>3168</v>
      </c>
      <c r="O774" s="1" t="s">
        <v>5004</v>
      </c>
    </row>
    <row r="775" spans="1:16" ht="15.75" customHeight="1">
      <c r="A775" s="1" t="s">
        <v>0</v>
      </c>
      <c r="B775" s="1" t="s">
        <v>2137</v>
      </c>
      <c r="C775" s="1" t="s">
        <v>2138</v>
      </c>
      <c r="D775" s="1" t="s">
        <v>1602</v>
      </c>
      <c r="E775" s="1" t="s">
        <v>2139</v>
      </c>
      <c r="F775" s="1" t="s">
        <v>2140</v>
      </c>
      <c r="G775" s="1">
        <v>46</v>
      </c>
      <c r="H775" s="1">
        <v>0</v>
      </c>
      <c r="I775" s="1">
        <v>2021</v>
      </c>
      <c r="J775" s="1">
        <v>14</v>
      </c>
      <c r="K775" s="1" t="s">
        <v>6</v>
      </c>
      <c r="L775" s="1" t="s">
        <v>6</v>
      </c>
      <c r="M775" s="1" t="s">
        <v>6</v>
      </c>
      <c r="N775" s="1" t="s">
        <v>6</v>
      </c>
      <c r="O775" s="1" t="s">
        <v>2141</v>
      </c>
      <c r="P775" s="3" t="str">
        <f>HYPERLINK("http://dx.doi.org/10.11144/Javeriana.m14.ndcm","http://dx.doi.org/10.11144/Javeriana.m14.ndcm")</f>
        <v>http://dx.doi.org/10.11144/Javeriana.m14.ndcm</v>
      </c>
    </row>
    <row r="776" spans="1:16" ht="15.75" customHeight="1">
      <c r="A776" s="1" t="s">
        <v>0</v>
      </c>
      <c r="B776" s="1" t="s">
        <v>5356</v>
      </c>
      <c r="C776" s="1" t="s">
        <v>5357</v>
      </c>
      <c r="D776" s="1" t="s">
        <v>5358</v>
      </c>
      <c r="E776" s="1" t="s">
        <v>5359</v>
      </c>
      <c r="F776" s="1" t="s">
        <v>5360</v>
      </c>
      <c r="G776" s="1">
        <v>28</v>
      </c>
      <c r="H776" s="1">
        <v>0</v>
      </c>
      <c r="I776" s="1">
        <v>2021</v>
      </c>
      <c r="J776" s="1">
        <v>37</v>
      </c>
      <c r="K776" s="1">
        <v>69</v>
      </c>
      <c r="L776" s="1">
        <v>195</v>
      </c>
      <c r="M776" s="1">
        <v>218</v>
      </c>
      <c r="N776" s="1" t="s">
        <v>6</v>
      </c>
      <c r="O776" s="1" t="s">
        <v>5361</v>
      </c>
      <c r="P776" s="3" t="str">
        <f>HYPERLINK("http://dx.doi.org/10.15359/tdna.37-69.10","http://dx.doi.org/10.15359/tdna.37-69.10")</f>
        <v>http://dx.doi.org/10.15359/tdna.37-69.10</v>
      </c>
    </row>
    <row r="777" spans="1:16" ht="15.75" customHeight="1">
      <c r="A777" s="1" t="s">
        <v>0</v>
      </c>
      <c r="B777" s="1" t="s">
        <v>5767</v>
      </c>
      <c r="C777" s="1" t="s">
        <v>5768</v>
      </c>
      <c r="D777" s="1" t="s">
        <v>195</v>
      </c>
      <c r="E777" s="1" t="s">
        <v>5769</v>
      </c>
      <c r="F777" s="1" t="s">
        <v>5770</v>
      </c>
      <c r="G777" s="1">
        <v>73</v>
      </c>
      <c r="H777" s="1">
        <v>0</v>
      </c>
      <c r="I777" s="1">
        <v>2021</v>
      </c>
      <c r="J777" s="1">
        <v>53</v>
      </c>
      <c r="K777" s="1">
        <v>3</v>
      </c>
      <c r="L777" s="1">
        <v>544</v>
      </c>
      <c r="M777" s="1">
        <v>562</v>
      </c>
      <c r="N777" s="1" t="s">
        <v>6</v>
      </c>
      <c r="O777" s="1" t="s">
        <v>5771</v>
      </c>
      <c r="P777" s="3" t="str">
        <f>HYPERLINK("http://dx.doi.org/10.4067/S0717-73562021005001702","http://dx.doi.org/10.4067/S0717-73562021005001702")</f>
        <v>http://dx.doi.org/10.4067/S0717-73562021005001702</v>
      </c>
    </row>
    <row r="778" spans="1:16" ht="15.75" customHeight="1">
      <c r="A778" s="1" t="s">
        <v>0</v>
      </c>
      <c r="B778" s="1" t="s">
        <v>3837</v>
      </c>
      <c r="C778" s="1" t="s">
        <v>3838</v>
      </c>
      <c r="D778" s="1" t="s">
        <v>3839</v>
      </c>
      <c r="E778" s="1" t="s">
        <v>3840</v>
      </c>
      <c r="F778" s="1" t="s">
        <v>3841</v>
      </c>
      <c r="G778" s="1">
        <v>49</v>
      </c>
      <c r="H778" s="1">
        <v>0</v>
      </c>
      <c r="I778" s="1">
        <v>2021</v>
      </c>
      <c r="J778" s="1" t="s">
        <v>6</v>
      </c>
      <c r="K778" s="1">
        <v>15</v>
      </c>
      <c r="L778" s="1">
        <v>25</v>
      </c>
      <c r="M778" s="1">
        <v>46</v>
      </c>
      <c r="N778" s="1" t="s">
        <v>6</v>
      </c>
      <c r="O778" s="1" t="s">
        <v>3842</v>
      </c>
      <c r="P778" s="3" t="str">
        <f>HYPERLINK("http://dx.doi.org/10.5354/0719-0417.2021.64397","http://dx.doi.org/10.5354/0719-0417.2021.64397")</f>
        <v>http://dx.doi.org/10.5354/0719-0417.2021.64397</v>
      </c>
    </row>
    <row r="779" spans="1:16" ht="15.75" customHeight="1">
      <c r="A779" s="1" t="s">
        <v>0</v>
      </c>
      <c r="B779" s="1" t="s">
        <v>889</v>
      </c>
      <c r="C779" s="1" t="s">
        <v>890</v>
      </c>
      <c r="D779" s="1" t="s">
        <v>201</v>
      </c>
      <c r="E779" s="1" t="s">
        <v>891</v>
      </c>
      <c r="F779" s="1" t="s">
        <v>892</v>
      </c>
      <c r="G779" s="1">
        <v>39</v>
      </c>
      <c r="H779" s="1">
        <v>0</v>
      </c>
      <c r="I779" s="1">
        <v>2021</v>
      </c>
      <c r="J779" s="1" t="s">
        <v>6</v>
      </c>
      <c r="K779" s="1">
        <v>67</v>
      </c>
      <c r="L779" s="1" t="s">
        <v>6</v>
      </c>
      <c r="M779" s="1" t="s">
        <v>6</v>
      </c>
      <c r="N779" s="1" t="s">
        <v>893</v>
      </c>
      <c r="O779" s="1" t="s">
        <v>894</v>
      </c>
      <c r="P779" s="3" t="str">
        <f>HYPERLINK("http://dx.doi.org/10.22199/issn.0718-1043-2021-0013","http://dx.doi.org/10.22199/issn.0718-1043-2021-0013")</f>
        <v>http://dx.doi.org/10.22199/issn.0718-1043-2021-0013</v>
      </c>
    </row>
    <row r="780" spans="1:16" ht="15.75" customHeight="1">
      <c r="A780" s="1" t="s">
        <v>10</v>
      </c>
      <c r="B780" s="1" t="s">
        <v>6280</v>
      </c>
      <c r="C780" s="1" t="s">
        <v>6281</v>
      </c>
      <c r="D780" s="1" t="s">
        <v>6282</v>
      </c>
      <c r="E780" s="1" t="s">
        <v>6283</v>
      </c>
      <c r="F780" s="1" t="s">
        <v>6284</v>
      </c>
      <c r="H780" s="1">
        <v>0</v>
      </c>
      <c r="I780" s="1">
        <v>2021</v>
      </c>
      <c r="J780" s="1">
        <v>34</v>
      </c>
      <c r="K780" s="1">
        <v>1</v>
      </c>
      <c r="O780" s="1" t="s">
        <v>6285</v>
      </c>
    </row>
    <row r="781" spans="1:16" ht="15.75" customHeight="1">
      <c r="A781" s="1" t="s">
        <v>0</v>
      </c>
      <c r="B781" s="1" t="s">
        <v>6537</v>
      </c>
      <c r="C781" s="1" t="s">
        <v>6538</v>
      </c>
      <c r="D781" s="1" t="s">
        <v>1080</v>
      </c>
      <c r="E781" s="1" t="s">
        <v>6539</v>
      </c>
      <c r="F781" s="1" t="s">
        <v>6540</v>
      </c>
      <c r="G781" s="1">
        <v>60</v>
      </c>
      <c r="H781" s="1">
        <v>0</v>
      </c>
      <c r="I781" s="1">
        <v>2021</v>
      </c>
      <c r="J781" s="1" t="s">
        <v>6</v>
      </c>
      <c r="K781" s="1">
        <v>34</v>
      </c>
      <c r="L781" s="1">
        <v>195</v>
      </c>
      <c r="M781" s="1">
        <v>213</v>
      </c>
      <c r="N781" s="1" t="s">
        <v>6</v>
      </c>
      <c r="O781" s="1" t="s">
        <v>6541</v>
      </c>
      <c r="P781" s="3" t="str">
        <f>HYPERLINK("http://dx.doi.org/10.17163/uni.n34.2021.09","http://dx.doi.org/10.17163/uni.n34.2021.09")</f>
        <v>http://dx.doi.org/10.17163/uni.n34.2021.09</v>
      </c>
    </row>
    <row r="782" spans="1:16" ht="15.75" customHeight="1">
      <c r="A782" s="1" t="s">
        <v>463</v>
      </c>
      <c r="B782" s="1" t="s">
        <v>5928</v>
      </c>
      <c r="C782" s="1" t="s">
        <v>5929</v>
      </c>
      <c r="D782" s="1" t="s">
        <v>5930</v>
      </c>
      <c r="E782" s="1" t="s">
        <v>5931</v>
      </c>
      <c r="F782" s="1" t="s">
        <v>5932</v>
      </c>
      <c r="H782" s="1">
        <v>0</v>
      </c>
      <c r="I782" s="1">
        <v>2021</v>
      </c>
      <c r="O782" s="1" t="s">
        <v>5933</v>
      </c>
    </row>
    <row r="783" spans="1:16" ht="15.75" customHeight="1">
      <c r="A783" s="1" t="s">
        <v>0</v>
      </c>
      <c r="B783" s="1" t="s">
        <v>5279</v>
      </c>
      <c r="C783" s="1" t="s">
        <v>5280</v>
      </c>
      <c r="D783" s="1" t="s">
        <v>148</v>
      </c>
      <c r="E783" s="1" t="s">
        <v>5281</v>
      </c>
      <c r="F783" s="1" t="s">
        <v>5282</v>
      </c>
      <c r="G783" s="1">
        <v>50</v>
      </c>
      <c r="H783" s="1">
        <v>0</v>
      </c>
      <c r="I783" s="1">
        <v>2021</v>
      </c>
      <c r="J783" s="1">
        <v>29</v>
      </c>
      <c r="K783" s="1" t="s">
        <v>6</v>
      </c>
      <c r="L783" s="1" t="s">
        <v>6</v>
      </c>
      <c r="M783" s="1" t="s">
        <v>6</v>
      </c>
      <c r="N783" s="1" t="s">
        <v>6</v>
      </c>
      <c r="O783" s="1" t="s">
        <v>5283</v>
      </c>
      <c r="P783" s="3" t="str">
        <f>HYPERLINK("http://dx.doi.org/10.14507/epaa.29.6267","http://dx.doi.org/10.14507/epaa.29.6267")</f>
        <v>http://dx.doi.org/10.14507/epaa.29.6267</v>
      </c>
    </row>
    <row r="784" spans="1:16" ht="15.75" customHeight="1">
      <c r="A784" s="1" t="s">
        <v>0</v>
      </c>
      <c r="B784" s="1" t="s">
        <v>5887</v>
      </c>
      <c r="C784" s="1" t="s">
        <v>5888</v>
      </c>
      <c r="D784" s="1" t="s">
        <v>5889</v>
      </c>
      <c r="E784" s="1" t="s">
        <v>5890</v>
      </c>
      <c r="F784" s="1" t="s">
        <v>5891</v>
      </c>
      <c r="G784" s="1">
        <v>37</v>
      </c>
      <c r="H784" s="1">
        <v>0</v>
      </c>
      <c r="I784" s="1">
        <v>2021</v>
      </c>
      <c r="J784" s="1">
        <v>19</v>
      </c>
      <c r="K784" s="1" t="s">
        <v>61</v>
      </c>
    </row>
    <row r="785" spans="1:16" ht="15.75" customHeight="1">
      <c r="A785" s="1" t="s">
        <v>0</v>
      </c>
      <c r="B785" s="1" t="s">
        <v>5993</v>
      </c>
      <c r="C785" s="2" t="s">
        <v>5994</v>
      </c>
      <c r="D785" s="1" t="s">
        <v>5995</v>
      </c>
      <c r="E785" s="1" t="s">
        <v>5996</v>
      </c>
      <c r="F785" s="1" t="s">
        <v>5997</v>
      </c>
      <c r="G785" s="1">
        <v>32</v>
      </c>
      <c r="H785" s="1">
        <v>0</v>
      </c>
      <c r="I785" s="1">
        <v>2021</v>
      </c>
      <c r="J785" s="1">
        <v>21</v>
      </c>
      <c r="K785" s="1">
        <v>1</v>
      </c>
      <c r="L785" s="1">
        <v>613</v>
      </c>
      <c r="M785" s="1">
        <v>635</v>
      </c>
      <c r="N785" s="1" t="s">
        <v>6</v>
      </c>
      <c r="O785" s="1" t="s">
        <v>5998</v>
      </c>
      <c r="P785" s="3" t="str">
        <f>HYPERLINK("http://dx.doi.org/10.51349/veg.2021.1.23","http://dx.doi.org/10.51349/veg.2021.1.23")</f>
        <v>http://dx.doi.org/10.51349/veg.2021.1.23</v>
      </c>
    </row>
    <row r="786" spans="1:16" ht="15.75" customHeight="1">
      <c r="A786" s="1" t="s">
        <v>0</v>
      </c>
      <c r="B786" s="1" t="s">
        <v>2071</v>
      </c>
      <c r="C786" s="1" t="s">
        <v>2072</v>
      </c>
      <c r="D786" s="1" t="s">
        <v>2073</v>
      </c>
      <c r="E786" s="1" t="s">
        <v>2074</v>
      </c>
      <c r="F786" s="1" t="s">
        <v>2075</v>
      </c>
      <c r="G786" s="1">
        <v>22</v>
      </c>
      <c r="H786" s="1">
        <v>0</v>
      </c>
      <c r="I786" s="1">
        <v>2021</v>
      </c>
      <c r="J786" s="1">
        <v>13</v>
      </c>
      <c r="K786" s="1">
        <v>2</v>
      </c>
      <c r="L786" s="1">
        <v>37</v>
      </c>
      <c r="M786" s="1">
        <v>57</v>
      </c>
      <c r="N786" s="1" t="s">
        <v>6</v>
      </c>
      <c r="O786" s="1" t="s">
        <v>6</v>
      </c>
      <c r="P786" s="1" t="s">
        <v>6</v>
      </c>
    </row>
    <row r="787" spans="1:16" ht="15.75" customHeight="1">
      <c r="A787" s="1" t="s">
        <v>10</v>
      </c>
      <c r="B787" s="1" t="s">
        <v>5873</v>
      </c>
      <c r="C787" s="1" t="s">
        <v>5874</v>
      </c>
      <c r="D787" s="1" t="s">
        <v>639</v>
      </c>
      <c r="E787" s="1" t="s">
        <v>5875</v>
      </c>
      <c r="F787" s="1" t="s">
        <v>5876</v>
      </c>
      <c r="H787" s="1">
        <v>0</v>
      </c>
      <c r="I787" s="1">
        <v>2021</v>
      </c>
      <c r="K787" s="1">
        <v>86</v>
      </c>
      <c r="O787" s="1" t="s">
        <v>5877</v>
      </c>
    </row>
    <row r="788" spans="1:16" ht="15.75" customHeight="1">
      <c r="A788" s="1" t="s">
        <v>0</v>
      </c>
      <c r="B788" s="1" t="s">
        <v>2180</v>
      </c>
      <c r="C788" s="1" t="s">
        <v>2181</v>
      </c>
      <c r="D788" s="1" t="s">
        <v>2182</v>
      </c>
      <c r="E788" s="1" t="s">
        <v>2183</v>
      </c>
      <c r="F788" s="1" t="s">
        <v>2184</v>
      </c>
      <c r="G788" s="1">
        <v>50</v>
      </c>
      <c r="H788" s="1">
        <v>0</v>
      </c>
      <c r="I788" s="1">
        <v>2021</v>
      </c>
      <c r="J788" s="1">
        <v>34</v>
      </c>
      <c r="K788" s="1" t="s">
        <v>61</v>
      </c>
    </row>
    <row r="789" spans="1:16" ht="15.75" customHeight="1">
      <c r="A789" s="1" t="s">
        <v>0</v>
      </c>
      <c r="B789" s="1" t="s">
        <v>4501</v>
      </c>
      <c r="C789" s="1" t="s">
        <v>4502</v>
      </c>
      <c r="D789" s="1" t="s">
        <v>4503</v>
      </c>
      <c r="E789" s="1" t="s">
        <v>4504</v>
      </c>
      <c r="F789" s="1" t="s">
        <v>4505</v>
      </c>
      <c r="G789" s="1">
        <v>24</v>
      </c>
      <c r="H789" s="1">
        <v>0</v>
      </c>
      <c r="I789" s="1">
        <v>2021</v>
      </c>
      <c r="J789" s="1">
        <v>25</v>
      </c>
      <c r="K789" s="1">
        <v>1</v>
      </c>
      <c r="L789" s="1" t="s">
        <v>6</v>
      </c>
      <c r="M789" s="1" t="s">
        <v>6</v>
      </c>
      <c r="N789" s="1" t="s">
        <v>6</v>
      </c>
      <c r="O789" s="1" t="s">
        <v>4506</v>
      </c>
      <c r="P789" s="3" t="str">
        <f>HYPERLINK("http://dx.doi.org/10.15359/ree.25-1.14","http://dx.doi.org/10.15359/ree.25-1.14")</f>
        <v>http://dx.doi.org/10.15359/ree.25-1.14</v>
      </c>
    </row>
    <row r="790" spans="1:16" ht="15.75" customHeight="1">
      <c r="A790" s="1" t="s">
        <v>0</v>
      </c>
      <c r="B790" s="1" t="s">
        <v>328</v>
      </c>
      <c r="C790" s="1" t="s">
        <v>329</v>
      </c>
      <c r="D790" s="1" t="s">
        <v>330</v>
      </c>
      <c r="E790" s="1" t="s">
        <v>331</v>
      </c>
      <c r="F790" s="1" t="s">
        <v>332</v>
      </c>
      <c r="G790" s="1">
        <v>50</v>
      </c>
      <c r="H790" s="1">
        <v>0</v>
      </c>
      <c r="I790" s="1">
        <v>2021</v>
      </c>
      <c r="J790" s="1">
        <v>30</v>
      </c>
      <c r="K790" s="1" t="s">
        <v>333</v>
      </c>
      <c r="O790" s="1" t="s">
        <v>334</v>
      </c>
    </row>
    <row r="791" spans="1:16" ht="15.75" customHeight="1">
      <c r="A791" s="1" t="s">
        <v>0</v>
      </c>
      <c r="B791" s="1" t="s">
        <v>4682</v>
      </c>
      <c r="C791" s="2" t="s">
        <v>4683</v>
      </c>
      <c r="D791" s="1" t="s">
        <v>58</v>
      </c>
      <c r="E791" s="1" t="s">
        <v>4684</v>
      </c>
      <c r="F791" s="1" t="s">
        <v>4685</v>
      </c>
      <c r="G791" s="1">
        <v>57</v>
      </c>
      <c r="H791" s="1">
        <v>0</v>
      </c>
      <c r="I791" s="1">
        <v>2021</v>
      </c>
      <c r="J791" s="1">
        <v>21</v>
      </c>
      <c r="K791" s="1">
        <v>1</v>
      </c>
      <c r="L791" s="1">
        <v>152</v>
      </c>
      <c r="M791" s="1">
        <v>179</v>
      </c>
      <c r="N791" s="1" t="s">
        <v>6</v>
      </c>
      <c r="O791" s="1" t="s">
        <v>4686</v>
      </c>
      <c r="P791" s="3" t="str">
        <f>HYPERLINK("http://dx.doi.org/10.4067/S0719-09482021000100152","http://dx.doi.org/10.4067/S0719-09482021000100152")</f>
        <v>http://dx.doi.org/10.4067/S0719-09482021000100152</v>
      </c>
    </row>
    <row r="792" spans="1:16" ht="15.75" customHeight="1">
      <c r="A792" s="1" t="s">
        <v>0</v>
      </c>
      <c r="B792" s="1" t="s">
        <v>146</v>
      </c>
      <c r="C792" s="1" t="s">
        <v>147</v>
      </c>
      <c r="D792" s="1" t="s">
        <v>148</v>
      </c>
      <c r="E792" s="1" t="s">
        <v>149</v>
      </c>
      <c r="F792" s="1" t="s">
        <v>150</v>
      </c>
      <c r="G792" s="1">
        <v>34</v>
      </c>
      <c r="H792" s="1">
        <v>0</v>
      </c>
      <c r="I792" s="1">
        <v>2021</v>
      </c>
      <c r="J792" s="1">
        <v>29</v>
      </c>
      <c r="K792" s="1" t="s">
        <v>6</v>
      </c>
      <c r="L792" s="1" t="s">
        <v>6</v>
      </c>
      <c r="M792" s="1" t="s">
        <v>6</v>
      </c>
      <c r="N792" s="1" t="s">
        <v>6</v>
      </c>
      <c r="O792" s="1" t="s">
        <v>151</v>
      </c>
      <c r="P792" s="3" t="str">
        <f>HYPERLINK("http://dx.doi.org/10.14507/epaa.29.6261","http://dx.doi.org/10.14507/epaa.29.6261")</f>
        <v>http://dx.doi.org/10.14507/epaa.29.6261</v>
      </c>
    </row>
    <row r="793" spans="1:16" ht="15.75" customHeight="1">
      <c r="A793" s="1" t="s">
        <v>0</v>
      </c>
      <c r="B793" s="1" t="s">
        <v>1620</v>
      </c>
      <c r="C793" s="1" t="s">
        <v>1621</v>
      </c>
      <c r="D793" s="1" t="s">
        <v>1622</v>
      </c>
      <c r="E793" s="1" t="s">
        <v>1623</v>
      </c>
      <c r="F793" s="1" t="s">
        <v>1624</v>
      </c>
      <c r="G793" s="1">
        <v>0</v>
      </c>
      <c r="H793" s="1">
        <v>0</v>
      </c>
      <c r="I793" s="1">
        <v>2021</v>
      </c>
      <c r="J793" s="1">
        <v>35</v>
      </c>
      <c r="K793" s="1" t="s">
        <v>61</v>
      </c>
    </row>
    <row r="794" spans="1:16" ht="15.75" customHeight="1">
      <c r="A794" s="1" t="s">
        <v>0</v>
      </c>
      <c r="B794" s="1" t="s">
        <v>4303</v>
      </c>
      <c r="C794" s="1" t="s">
        <v>4304</v>
      </c>
      <c r="D794" s="1" t="s">
        <v>371</v>
      </c>
      <c r="E794" s="1" t="s">
        <v>4305</v>
      </c>
      <c r="F794" s="1" t="s">
        <v>4306</v>
      </c>
      <c r="G794" s="1">
        <v>39</v>
      </c>
      <c r="H794" s="1">
        <v>0</v>
      </c>
      <c r="I794" s="1">
        <v>2021</v>
      </c>
      <c r="J794" s="1">
        <v>11</v>
      </c>
      <c r="K794" s="1">
        <v>2</v>
      </c>
      <c r="L794" s="1">
        <v>361</v>
      </c>
      <c r="M794" s="1">
        <v>392</v>
      </c>
      <c r="N794" s="1" t="s">
        <v>6</v>
      </c>
      <c r="O794" s="1" t="s">
        <v>6</v>
      </c>
      <c r="P794" s="1" t="s">
        <v>6</v>
      </c>
    </row>
    <row r="795" spans="1:16" ht="15.75" customHeight="1">
      <c r="A795" s="1" t="s">
        <v>0</v>
      </c>
      <c r="B795" s="1" t="s">
        <v>4857</v>
      </c>
      <c r="C795" s="1" t="s">
        <v>4858</v>
      </c>
      <c r="D795" s="1" t="s">
        <v>996</v>
      </c>
      <c r="E795" s="1" t="s">
        <v>4859</v>
      </c>
      <c r="F795" s="1" t="s">
        <v>4860</v>
      </c>
      <c r="G795" s="1">
        <v>23</v>
      </c>
      <c r="H795" s="1">
        <v>0</v>
      </c>
      <c r="I795" s="1">
        <v>2021</v>
      </c>
      <c r="J795" s="1">
        <v>31</v>
      </c>
      <c r="K795" s="1">
        <v>1</v>
      </c>
      <c r="L795" s="1">
        <v>584</v>
      </c>
      <c r="M795" s="1">
        <v>602</v>
      </c>
      <c r="N795" s="1" t="s">
        <v>6</v>
      </c>
      <c r="O795" s="1" t="s">
        <v>4861</v>
      </c>
      <c r="P795" s="3" t="str">
        <f>HYPERLINK("http://dx.doi.org/10.7770/CUHSO-V31N1.ART2000","http://dx.doi.org/10.7770/CUHSO-V31N1.ART2000")</f>
        <v>http://dx.doi.org/10.7770/CUHSO-V31N1.ART2000</v>
      </c>
    </row>
    <row r="796" spans="1:16" ht="15.75" customHeight="1">
      <c r="A796" s="1" t="s">
        <v>0</v>
      </c>
      <c r="B796" s="1" t="s">
        <v>537</v>
      </c>
      <c r="C796" s="1" t="s">
        <v>538</v>
      </c>
      <c r="D796" s="1" t="s">
        <v>539</v>
      </c>
      <c r="E796" s="1" t="s">
        <v>540</v>
      </c>
      <c r="F796" s="1" t="s">
        <v>541</v>
      </c>
      <c r="G796" s="1">
        <v>81</v>
      </c>
      <c r="H796" s="1">
        <v>0</v>
      </c>
      <c r="I796" s="1">
        <v>2021</v>
      </c>
      <c r="J796" s="1" t="s">
        <v>6</v>
      </c>
      <c r="K796" s="1" t="s">
        <v>6</v>
      </c>
      <c r="L796" s="1" t="s">
        <v>6</v>
      </c>
      <c r="M796" s="1" t="s">
        <v>6</v>
      </c>
      <c r="N796" s="1" t="s">
        <v>6</v>
      </c>
      <c r="O796" s="1" t="s">
        <v>542</v>
      </c>
      <c r="P796" s="3" t="str">
        <f>HYPERLINK("http://dx.doi.org/10.1080/14782804.2021.2014305","http://dx.doi.org/10.1080/14782804.2021.2014305")</f>
        <v>http://dx.doi.org/10.1080/14782804.2021.2014305</v>
      </c>
    </row>
    <row r="797" spans="1:16" ht="15.75" customHeight="1">
      <c r="A797" s="1" t="s">
        <v>0</v>
      </c>
      <c r="B797" s="1" t="s">
        <v>2685</v>
      </c>
      <c r="C797" s="1" t="s">
        <v>2686</v>
      </c>
      <c r="D797" s="1" t="s">
        <v>2687</v>
      </c>
      <c r="E797" s="1" t="s">
        <v>2688</v>
      </c>
      <c r="F797" s="1" t="s">
        <v>2689</v>
      </c>
      <c r="G797" s="1">
        <v>51</v>
      </c>
      <c r="H797" s="1">
        <v>0</v>
      </c>
      <c r="I797" s="1">
        <v>2021</v>
      </c>
      <c r="J797" s="1">
        <v>45</v>
      </c>
      <c r="K797" s="1">
        <v>2</v>
      </c>
      <c r="L797" s="1" t="s">
        <v>6</v>
      </c>
      <c r="M797" s="1" t="s">
        <v>6</v>
      </c>
      <c r="N797" s="1" t="s">
        <v>6</v>
      </c>
      <c r="O797" s="1" t="s">
        <v>2690</v>
      </c>
      <c r="P797" s="3" t="str">
        <f>HYPERLINK("http://dx.doi.org/10.15517/revedu.v45i1.43617","http://dx.doi.org/10.15517/revedu.v45i1.43617")</f>
        <v>http://dx.doi.org/10.15517/revedu.v45i1.43617</v>
      </c>
    </row>
    <row r="798" spans="1:16" ht="15.75" customHeight="1">
      <c r="A798" s="1" t="s">
        <v>0</v>
      </c>
      <c r="B798" s="1" t="s">
        <v>1862</v>
      </c>
      <c r="C798" s="1" t="s">
        <v>1863</v>
      </c>
      <c r="D798" s="1" t="s">
        <v>1864</v>
      </c>
      <c r="E798" s="1" t="s">
        <v>1865</v>
      </c>
      <c r="F798" s="1" t="s">
        <v>1866</v>
      </c>
      <c r="G798" s="1">
        <v>66</v>
      </c>
      <c r="H798" s="1">
        <v>0</v>
      </c>
      <c r="I798" s="1">
        <v>2021</v>
      </c>
      <c r="J798" s="1">
        <v>28</v>
      </c>
      <c r="K798" s="1" t="s">
        <v>378</v>
      </c>
      <c r="O798" s="1" t="s">
        <v>1867</v>
      </c>
    </row>
    <row r="799" spans="1:16" ht="15.75" customHeight="1">
      <c r="A799" s="1" t="s">
        <v>0</v>
      </c>
      <c r="B799" s="1" t="s">
        <v>694</v>
      </c>
      <c r="C799" s="1" t="s">
        <v>695</v>
      </c>
      <c r="D799" s="1" t="s">
        <v>696</v>
      </c>
      <c r="E799" s="1" t="s">
        <v>697</v>
      </c>
      <c r="F799" s="1" t="s">
        <v>698</v>
      </c>
      <c r="G799" s="1">
        <v>44</v>
      </c>
      <c r="H799" s="1">
        <v>0</v>
      </c>
      <c r="I799" s="1">
        <v>2021</v>
      </c>
      <c r="J799" s="1">
        <v>20</v>
      </c>
      <c r="K799" s="1" t="s">
        <v>6</v>
      </c>
      <c r="L799" s="1" t="s">
        <v>6</v>
      </c>
      <c r="M799" s="1" t="s">
        <v>6</v>
      </c>
      <c r="N799" s="1" t="s">
        <v>6</v>
      </c>
      <c r="O799" s="1" t="s">
        <v>699</v>
      </c>
      <c r="P799" s="3" t="str">
        <f>HYPERLINK("http://dx.doi.org/10.11144/Javeriana.upsy20.rsve","http://dx.doi.org/10.11144/Javeriana.upsy20.rsve")</f>
        <v>http://dx.doi.org/10.11144/Javeriana.upsy20.rsve</v>
      </c>
    </row>
    <row r="800" spans="1:16" ht="15.75" customHeight="1">
      <c r="A800" s="1" t="s">
        <v>0</v>
      </c>
      <c r="B800" s="1" t="s">
        <v>3482</v>
      </c>
      <c r="C800" s="1" t="s">
        <v>3483</v>
      </c>
      <c r="D800" s="1" t="s">
        <v>288</v>
      </c>
      <c r="E800" s="1" t="s">
        <v>3484</v>
      </c>
      <c r="F800" s="1" t="s">
        <v>3485</v>
      </c>
      <c r="G800" s="1">
        <v>65</v>
      </c>
      <c r="H800" s="1">
        <v>0</v>
      </c>
      <c r="I800" s="1">
        <v>2021</v>
      </c>
      <c r="J800" s="1">
        <v>18</v>
      </c>
      <c r="K800" s="1">
        <v>2</v>
      </c>
      <c r="L800" s="1" t="s">
        <v>6</v>
      </c>
      <c r="M800" s="1" t="s">
        <v>6</v>
      </c>
      <c r="N800" s="1" t="s">
        <v>3486</v>
      </c>
      <c r="O800" s="1" t="s">
        <v>3487</v>
      </c>
      <c r="P800" s="3" t="str">
        <f>HYPERLINK("http://dx.doi.org/10.15517/c.a..v18i2.47808","http://dx.doi.org/10.15517/c.a..v18i2.47808")</f>
        <v>http://dx.doi.org/10.15517/c.a..v18i2.47808</v>
      </c>
    </row>
    <row r="801" spans="1:16" ht="15.75" customHeight="1">
      <c r="A801" s="1" t="s">
        <v>0</v>
      </c>
      <c r="B801" s="1" t="s">
        <v>2893</v>
      </c>
      <c r="C801" s="1" t="s">
        <v>2894</v>
      </c>
      <c r="D801" s="1" t="s">
        <v>2895</v>
      </c>
      <c r="E801" s="1" t="s">
        <v>2896</v>
      </c>
      <c r="F801" s="1" t="s">
        <v>2897</v>
      </c>
      <c r="G801" s="1">
        <v>34</v>
      </c>
      <c r="H801" s="1">
        <v>0</v>
      </c>
      <c r="I801" s="1">
        <v>2021</v>
      </c>
      <c r="J801" s="1">
        <v>19</v>
      </c>
      <c r="K801" s="1">
        <v>1</v>
      </c>
      <c r="L801" s="1">
        <v>177</v>
      </c>
      <c r="M801" s="1">
        <v>205</v>
      </c>
      <c r="N801" s="1" t="s">
        <v>6</v>
      </c>
      <c r="O801" s="1" t="s">
        <v>6</v>
      </c>
      <c r="P801" s="1" t="s">
        <v>6</v>
      </c>
    </row>
    <row r="802" spans="1:16" ht="15.75" customHeight="1">
      <c r="A802" s="1" t="s">
        <v>0</v>
      </c>
      <c r="B802" s="1" t="s">
        <v>1189</v>
      </c>
      <c r="C802" s="1" t="s">
        <v>1190</v>
      </c>
      <c r="D802" s="1" t="s">
        <v>1191</v>
      </c>
      <c r="E802" s="1" t="s">
        <v>1192</v>
      </c>
      <c r="F802" s="1" t="s">
        <v>1193</v>
      </c>
      <c r="G802" s="1">
        <v>67</v>
      </c>
      <c r="H802" s="1">
        <v>0</v>
      </c>
      <c r="I802" s="1">
        <v>2021</v>
      </c>
      <c r="J802" s="1">
        <v>38</v>
      </c>
      <c r="K802" s="1" t="s">
        <v>61</v>
      </c>
      <c r="O802" s="1" t="s">
        <v>1194</v>
      </c>
    </row>
    <row r="803" spans="1:16" ht="15.75" customHeight="1">
      <c r="A803" s="1" t="s">
        <v>10</v>
      </c>
      <c r="B803" s="1" t="s">
        <v>1154</v>
      </c>
      <c r="C803" s="1" t="s">
        <v>1155</v>
      </c>
      <c r="D803" s="1" t="s">
        <v>1156</v>
      </c>
      <c r="E803" s="1" t="s">
        <v>1157</v>
      </c>
      <c r="F803" s="1" t="s">
        <v>1158</v>
      </c>
      <c r="H803" s="1">
        <v>0</v>
      </c>
      <c r="I803" s="1">
        <v>2021</v>
      </c>
      <c r="J803" s="1">
        <v>26</v>
      </c>
      <c r="K803" s="1">
        <v>40</v>
      </c>
      <c r="O803" s="1" t="s">
        <v>1159</v>
      </c>
    </row>
    <row r="804" spans="1:16" ht="15.75" customHeight="1">
      <c r="A804" s="1" t="s">
        <v>0</v>
      </c>
      <c r="B804" s="1" t="s">
        <v>6437</v>
      </c>
      <c r="C804" s="1" t="s">
        <v>6438</v>
      </c>
      <c r="D804" s="1" t="s">
        <v>1815</v>
      </c>
      <c r="E804" s="1" t="s">
        <v>6439</v>
      </c>
      <c r="F804" s="1" t="s">
        <v>6440</v>
      </c>
      <c r="G804" s="1">
        <v>41</v>
      </c>
      <c r="H804" s="1">
        <v>0</v>
      </c>
      <c r="I804" s="1">
        <v>2021</v>
      </c>
      <c r="J804" s="1">
        <v>50</v>
      </c>
      <c r="K804" s="1" t="s">
        <v>6</v>
      </c>
      <c r="L804" s="1" t="s">
        <v>6</v>
      </c>
      <c r="M804" s="1" t="s">
        <v>6</v>
      </c>
      <c r="N804" s="1" t="s">
        <v>6</v>
      </c>
      <c r="O804" s="1" t="s">
        <v>6</v>
      </c>
      <c r="P804" s="1" t="s">
        <v>6</v>
      </c>
    </row>
    <row r="805" spans="1:16" ht="15.75" customHeight="1">
      <c r="A805" s="1" t="s">
        <v>0</v>
      </c>
      <c r="B805" s="1" t="s">
        <v>5735</v>
      </c>
      <c r="C805" s="1" t="s">
        <v>5736</v>
      </c>
      <c r="D805" s="1" t="s">
        <v>1103</v>
      </c>
      <c r="E805" s="1" t="s">
        <v>5737</v>
      </c>
      <c r="F805" s="1" t="s">
        <v>5738</v>
      </c>
      <c r="G805" s="1">
        <v>86</v>
      </c>
      <c r="H805" s="1">
        <v>0</v>
      </c>
      <c r="I805" s="1">
        <v>2021</v>
      </c>
      <c r="J805" s="1">
        <v>48</v>
      </c>
      <c r="K805" s="1">
        <v>6</v>
      </c>
      <c r="L805" s="1">
        <v>48</v>
      </c>
      <c r="M805" s="1">
        <v>66</v>
      </c>
      <c r="N805" s="1" t="s">
        <v>5739</v>
      </c>
      <c r="O805" s="1" t="s">
        <v>5740</v>
      </c>
      <c r="P805" s="3" t="str">
        <f>HYPERLINK("http://dx.doi.org/10.1177/0094582X211029593","http://dx.doi.org/10.1177/0094582X211029593")</f>
        <v>http://dx.doi.org/10.1177/0094582X211029593</v>
      </c>
    </row>
    <row r="806" spans="1:16" ht="15.75" customHeight="1">
      <c r="A806" s="1" t="s">
        <v>0</v>
      </c>
      <c r="B806" s="1" t="s">
        <v>2051</v>
      </c>
      <c r="C806" s="1" t="s">
        <v>2052</v>
      </c>
      <c r="D806" s="1" t="s">
        <v>148</v>
      </c>
      <c r="E806" s="1" t="s">
        <v>2053</v>
      </c>
      <c r="F806" s="1" t="s">
        <v>2054</v>
      </c>
      <c r="G806" s="1">
        <v>45</v>
      </c>
      <c r="H806" s="1">
        <v>0</v>
      </c>
      <c r="I806" s="1">
        <v>2021</v>
      </c>
      <c r="J806" s="1">
        <v>29</v>
      </c>
      <c r="K806" s="1" t="s">
        <v>6</v>
      </c>
      <c r="L806" s="1" t="s">
        <v>6</v>
      </c>
      <c r="M806" s="1" t="s">
        <v>6</v>
      </c>
      <c r="N806" s="1" t="s">
        <v>6</v>
      </c>
      <c r="O806" s="1" t="s">
        <v>6</v>
      </c>
      <c r="P806" s="1" t="s">
        <v>6</v>
      </c>
    </row>
    <row r="807" spans="1:16" ht="15.75" customHeight="1">
      <c r="A807" s="1" t="s">
        <v>0</v>
      </c>
      <c r="B807" s="1" t="s">
        <v>4229</v>
      </c>
      <c r="C807" s="1" t="s">
        <v>4230</v>
      </c>
      <c r="D807" s="1" t="s">
        <v>58</v>
      </c>
      <c r="E807" s="1" t="s">
        <v>4231</v>
      </c>
      <c r="F807" s="1" t="s">
        <v>4232</v>
      </c>
      <c r="G807" s="1">
        <v>91</v>
      </c>
      <c r="H807" s="1">
        <v>0</v>
      </c>
      <c r="I807" s="1">
        <v>2021</v>
      </c>
      <c r="J807" s="1">
        <v>21</v>
      </c>
      <c r="K807" s="1">
        <v>2</v>
      </c>
      <c r="L807" s="1">
        <v>95</v>
      </c>
      <c r="M807" s="1">
        <v>119</v>
      </c>
      <c r="N807" s="1" t="s">
        <v>6</v>
      </c>
      <c r="O807" s="1" t="s">
        <v>6</v>
      </c>
      <c r="P807" s="1" t="s">
        <v>6</v>
      </c>
    </row>
    <row r="808" spans="1:16" ht="15.75" customHeight="1">
      <c r="A808" s="1" t="s">
        <v>10</v>
      </c>
      <c r="B808" s="1" t="s">
        <v>3334</v>
      </c>
      <c r="C808" s="1" t="s">
        <v>3335</v>
      </c>
      <c r="D808" s="1" t="s">
        <v>3336</v>
      </c>
      <c r="E808" s="1" t="s">
        <v>3337</v>
      </c>
      <c r="F808" s="1" t="s">
        <v>3338</v>
      </c>
      <c r="H808" s="1">
        <v>21</v>
      </c>
      <c r="I808" s="1">
        <v>2022</v>
      </c>
      <c r="J808" s="1">
        <v>33</v>
      </c>
      <c r="O808" s="1" t="s">
        <v>3339</v>
      </c>
    </row>
    <row r="809" spans="1:16" ht="15.75" customHeight="1">
      <c r="A809" s="1" t="s">
        <v>0</v>
      </c>
      <c r="B809" s="1" t="s">
        <v>1908</v>
      </c>
      <c r="C809" s="1" t="s">
        <v>1909</v>
      </c>
      <c r="D809" s="1" t="s">
        <v>963</v>
      </c>
      <c r="E809" s="8" t="s">
        <v>7112</v>
      </c>
      <c r="F809" s="1" t="s">
        <v>1910</v>
      </c>
      <c r="G809" s="1">
        <v>42</v>
      </c>
      <c r="H809" s="1">
        <v>12</v>
      </c>
      <c r="I809" s="1">
        <v>2022</v>
      </c>
      <c r="J809" s="1">
        <v>60</v>
      </c>
      <c r="K809" s="1">
        <v>1</v>
      </c>
      <c r="L809" s="1">
        <v>77</v>
      </c>
      <c r="M809" s="1">
        <v>91</v>
      </c>
      <c r="N809" s="1" t="s">
        <v>6</v>
      </c>
      <c r="O809" s="1" t="s">
        <v>1911</v>
      </c>
      <c r="P809" s="3" t="str">
        <f>HYPERLINK("http://dx.doi.org/10.1111/imig.12824","http://dx.doi.org/10.1111/imig.12824")</f>
        <v>http://dx.doi.org/10.1111/imig.12824</v>
      </c>
    </row>
    <row r="810" spans="1:16" ht="15.75" customHeight="1">
      <c r="A810" s="1" t="s">
        <v>10</v>
      </c>
      <c r="B810" s="1" t="s">
        <v>6922</v>
      </c>
      <c r="C810" s="1" t="s">
        <v>6923</v>
      </c>
      <c r="D810" s="1" t="s">
        <v>88</v>
      </c>
      <c r="E810" s="1" t="s">
        <v>6924</v>
      </c>
      <c r="F810" s="1" t="s">
        <v>6925</v>
      </c>
      <c r="H810" s="1">
        <v>12</v>
      </c>
      <c r="I810" s="1">
        <v>2022</v>
      </c>
      <c r="J810" s="1">
        <v>157</v>
      </c>
      <c r="O810" s="1" t="s">
        <v>6926</v>
      </c>
    </row>
    <row r="811" spans="1:16" ht="15.75" customHeight="1">
      <c r="A811" s="1" t="s">
        <v>0</v>
      </c>
      <c r="B811" s="1" t="s">
        <v>815</v>
      </c>
      <c r="C811" s="1" t="s">
        <v>816</v>
      </c>
      <c r="D811" s="1" t="s">
        <v>817</v>
      </c>
      <c r="E811" s="1" t="s">
        <v>818</v>
      </c>
      <c r="F811" s="1" t="s">
        <v>819</v>
      </c>
      <c r="G811" s="1">
        <v>90</v>
      </c>
      <c r="H811" s="1">
        <v>9</v>
      </c>
      <c r="I811" s="1">
        <v>2022</v>
      </c>
      <c r="J811" s="1">
        <v>25</v>
      </c>
      <c r="K811" s="1" t="s">
        <v>820</v>
      </c>
      <c r="L811" s="1">
        <v>404</v>
      </c>
      <c r="M811" s="1">
        <v>427</v>
      </c>
      <c r="N811" s="1">
        <v>1.3678779221092462E+16</v>
      </c>
      <c r="O811" s="1" t="s">
        <v>821</v>
      </c>
      <c r="P811" s="3" t="str">
        <f>HYPERLINK("http://dx.doi.org/10.1177/13678779221092462","http://dx.doi.org/10.1177/13678779221092462")</f>
        <v>http://dx.doi.org/10.1177/13678779221092462</v>
      </c>
    </row>
    <row r="812" spans="1:16" ht="15.75" customHeight="1">
      <c r="A812" s="1" t="s">
        <v>10</v>
      </c>
      <c r="B812" s="1" t="s">
        <v>3242</v>
      </c>
      <c r="C812" s="1" t="s">
        <v>3243</v>
      </c>
      <c r="D812" s="1" t="s">
        <v>1358</v>
      </c>
      <c r="E812" s="1" t="s">
        <v>3244</v>
      </c>
      <c r="F812" s="1" t="s">
        <v>3245</v>
      </c>
      <c r="H812" s="1">
        <v>8</v>
      </c>
      <c r="I812" s="1">
        <v>2022</v>
      </c>
      <c r="J812" s="1">
        <v>21</v>
      </c>
      <c r="K812" s="1">
        <v>1</v>
      </c>
      <c r="O812" s="1" t="s">
        <v>3246</v>
      </c>
    </row>
    <row r="813" spans="1:16" ht="15.75" customHeight="1">
      <c r="A813" s="1" t="s">
        <v>10</v>
      </c>
      <c r="B813" s="1" t="s">
        <v>5162</v>
      </c>
      <c r="C813" s="1" t="s">
        <v>5163</v>
      </c>
      <c r="D813" s="1" t="s">
        <v>430</v>
      </c>
      <c r="E813" s="1" t="s">
        <v>5164</v>
      </c>
      <c r="F813" s="1" t="s">
        <v>5165</v>
      </c>
      <c r="H813" s="1">
        <v>8</v>
      </c>
      <c r="I813" s="1">
        <v>2022</v>
      </c>
      <c r="J813" s="1">
        <v>23</v>
      </c>
      <c r="K813" s="1">
        <v>2</v>
      </c>
      <c r="O813" s="1" t="s">
        <v>5166</v>
      </c>
    </row>
    <row r="814" spans="1:16" ht="15.75" customHeight="1">
      <c r="A814" s="1" t="s">
        <v>10</v>
      </c>
      <c r="B814" s="1" t="s">
        <v>4698</v>
      </c>
      <c r="C814" s="1" t="s">
        <v>4699</v>
      </c>
      <c r="D814" s="1" t="s">
        <v>4363</v>
      </c>
      <c r="E814" s="1" t="s">
        <v>4700</v>
      </c>
      <c r="F814" s="1" t="s">
        <v>4701</v>
      </c>
      <c r="H814" s="1">
        <v>8</v>
      </c>
      <c r="I814" s="1">
        <v>2022</v>
      </c>
      <c r="J814" s="1">
        <v>29</v>
      </c>
      <c r="K814" s="1">
        <v>2</v>
      </c>
      <c r="O814" s="1" t="s">
        <v>4702</v>
      </c>
    </row>
    <row r="815" spans="1:16" ht="15.75" customHeight="1">
      <c r="A815" s="1" t="s">
        <v>10</v>
      </c>
      <c r="B815" s="1" t="s">
        <v>6290</v>
      </c>
      <c r="C815" s="1" t="s">
        <v>6291</v>
      </c>
      <c r="D815" s="1" t="s">
        <v>6292</v>
      </c>
      <c r="E815" s="1" t="s">
        <v>6293</v>
      </c>
      <c r="F815" s="1" t="s">
        <v>6294</v>
      </c>
      <c r="H815" s="1">
        <v>7</v>
      </c>
      <c r="I815" s="1">
        <v>2022</v>
      </c>
      <c r="J815" s="1">
        <v>10</v>
      </c>
      <c r="K815" s="1">
        <v>2</v>
      </c>
      <c r="O815" s="1" t="s">
        <v>6295</v>
      </c>
    </row>
    <row r="816" spans="1:16" ht="15.75" customHeight="1">
      <c r="A816" s="1" t="s">
        <v>10</v>
      </c>
      <c r="B816" s="1" t="s">
        <v>98</v>
      </c>
      <c r="C816" s="1" t="s">
        <v>99</v>
      </c>
      <c r="D816" s="1" t="s">
        <v>100</v>
      </c>
      <c r="E816" s="1" t="s">
        <v>101</v>
      </c>
      <c r="F816" s="1" t="s">
        <v>102</v>
      </c>
      <c r="H816" s="1">
        <v>7</v>
      </c>
      <c r="I816" s="1">
        <v>2022</v>
      </c>
      <c r="J816" s="1">
        <v>30</v>
      </c>
      <c r="K816" s="1">
        <v>5</v>
      </c>
      <c r="O816" s="1" t="s">
        <v>103</v>
      </c>
    </row>
    <row r="817" spans="1:16" ht="15.75" customHeight="1">
      <c r="A817" s="1" t="s">
        <v>0</v>
      </c>
      <c r="B817" s="1" t="s">
        <v>1971</v>
      </c>
      <c r="C817" s="1" t="s">
        <v>1972</v>
      </c>
      <c r="D817" s="1" t="s">
        <v>1933</v>
      </c>
      <c r="E817" s="1" t="s">
        <v>1973</v>
      </c>
      <c r="F817" s="1" t="s">
        <v>1974</v>
      </c>
      <c r="G817" s="1">
        <v>30</v>
      </c>
      <c r="H817" s="1">
        <v>7</v>
      </c>
      <c r="I817" s="1">
        <v>2022</v>
      </c>
      <c r="J817" s="1">
        <v>48</v>
      </c>
      <c r="K817" s="1">
        <v>144</v>
      </c>
      <c r="L817" s="1" t="s">
        <v>6</v>
      </c>
      <c r="M817" s="1" t="s">
        <v>6</v>
      </c>
      <c r="N817" s="1" t="s">
        <v>6</v>
      </c>
      <c r="O817" s="1" t="s">
        <v>1975</v>
      </c>
      <c r="P817" s="3" t="str">
        <f>HYPERLINK("http://dx.doi.org/10.7764/eure.48.144.02","http://dx.doi.org/10.7764/eure.48.144.02")</f>
        <v>http://dx.doi.org/10.7764/eure.48.144.02</v>
      </c>
    </row>
    <row r="818" spans="1:16" ht="15.75" customHeight="1">
      <c r="A818" s="1" t="s">
        <v>10</v>
      </c>
      <c r="B818" s="1" t="s">
        <v>2009</v>
      </c>
      <c r="C818" s="1" t="s">
        <v>2010</v>
      </c>
      <c r="D818" s="1" t="s">
        <v>2011</v>
      </c>
      <c r="E818" s="1" t="s">
        <v>2012</v>
      </c>
      <c r="F818" s="1" t="s">
        <v>2013</v>
      </c>
      <c r="H818" s="1">
        <v>6</v>
      </c>
      <c r="I818" s="1">
        <v>2022</v>
      </c>
      <c r="J818" s="1">
        <v>114</v>
      </c>
      <c r="O818" s="1" t="s">
        <v>2014</v>
      </c>
    </row>
    <row r="819" spans="1:16" ht="15.75" customHeight="1">
      <c r="A819" s="1" t="s">
        <v>10</v>
      </c>
      <c r="B819" s="1" t="s">
        <v>1987</v>
      </c>
      <c r="C819" s="1" t="s">
        <v>1988</v>
      </c>
      <c r="D819" s="1" t="s">
        <v>709</v>
      </c>
      <c r="E819" s="1" t="s">
        <v>1989</v>
      </c>
      <c r="F819" s="1" t="s">
        <v>1990</v>
      </c>
      <c r="H819" s="1">
        <v>6</v>
      </c>
      <c r="I819" s="1">
        <v>2022</v>
      </c>
      <c r="J819" s="1">
        <v>83</v>
      </c>
      <c r="O819" s="1" t="s">
        <v>1991</v>
      </c>
    </row>
    <row r="820" spans="1:16" ht="15.75" customHeight="1">
      <c r="A820" s="1" t="s">
        <v>10</v>
      </c>
      <c r="B820" s="1" t="s">
        <v>6310</v>
      </c>
      <c r="C820" s="1" t="s">
        <v>6311</v>
      </c>
      <c r="D820" s="1" t="s">
        <v>6312</v>
      </c>
      <c r="E820" s="1" t="s">
        <v>6313</v>
      </c>
      <c r="F820" s="1" t="s">
        <v>6314</v>
      </c>
      <c r="H820" s="1">
        <v>6</v>
      </c>
      <c r="I820" s="1">
        <v>2022</v>
      </c>
      <c r="J820" s="1">
        <v>47</v>
      </c>
      <c r="K820" s="1">
        <v>2</v>
      </c>
      <c r="O820" s="1" t="s">
        <v>6315</v>
      </c>
    </row>
    <row r="821" spans="1:16" ht="15.75" customHeight="1">
      <c r="A821" s="1" t="s">
        <v>10</v>
      </c>
      <c r="B821" s="1" t="s">
        <v>2998</v>
      </c>
      <c r="C821" s="1" t="s">
        <v>2999</v>
      </c>
      <c r="D821" s="1" t="s">
        <v>3000</v>
      </c>
      <c r="E821" s="1" t="s">
        <v>3001</v>
      </c>
      <c r="F821" s="1" t="s">
        <v>3002</v>
      </c>
      <c r="H821" s="1">
        <v>5</v>
      </c>
      <c r="I821" s="1">
        <v>2022</v>
      </c>
      <c r="J821" s="1">
        <v>9</v>
      </c>
      <c r="K821" s="1">
        <v>2</v>
      </c>
      <c r="O821" s="1" t="s">
        <v>3003</v>
      </c>
    </row>
    <row r="822" spans="1:16" ht="15.75" customHeight="1">
      <c r="A822" s="1" t="s">
        <v>10</v>
      </c>
      <c r="B822" s="1" t="s">
        <v>3631</v>
      </c>
      <c r="C822" s="1" t="s">
        <v>3632</v>
      </c>
      <c r="D822" s="1" t="s">
        <v>3633</v>
      </c>
      <c r="E822" s="1" t="s">
        <v>3634</v>
      </c>
      <c r="F822" s="1" t="s">
        <v>3635</v>
      </c>
      <c r="H822" s="1">
        <v>5</v>
      </c>
      <c r="I822" s="1">
        <v>2022</v>
      </c>
      <c r="J822" s="1">
        <v>39</v>
      </c>
      <c r="K822" s="1">
        <v>1</v>
      </c>
      <c r="O822" s="1" t="s">
        <v>3636</v>
      </c>
    </row>
    <row r="823" spans="1:16" ht="15.75" customHeight="1">
      <c r="A823" s="1" t="s">
        <v>0</v>
      </c>
      <c r="B823" s="1" t="s">
        <v>6647</v>
      </c>
      <c r="C823" s="1" t="s">
        <v>6648</v>
      </c>
      <c r="D823" s="1" t="s">
        <v>6649</v>
      </c>
      <c r="E823" s="1" t="s">
        <v>6650</v>
      </c>
      <c r="F823" s="1" t="s">
        <v>6651</v>
      </c>
      <c r="G823" s="1">
        <v>64</v>
      </c>
      <c r="H823" s="1">
        <v>5</v>
      </c>
      <c r="I823" s="1">
        <v>2022</v>
      </c>
      <c r="J823" s="1">
        <v>37</v>
      </c>
      <c r="K823" s="1" t="s">
        <v>6652</v>
      </c>
      <c r="L823" s="1" t="s">
        <v>6653</v>
      </c>
      <c r="M823" s="1" t="s">
        <v>6654</v>
      </c>
      <c r="N823" s="1">
        <v>886260520959571</v>
      </c>
      <c r="O823" s="1" t="s">
        <v>6655</v>
      </c>
      <c r="P823" s="3" t="str">
        <f>HYPERLINK("http://dx.doi.org/10.1177/0886260520959571","http://dx.doi.org/10.1177/0886260520959571")</f>
        <v>http://dx.doi.org/10.1177/0886260520959571</v>
      </c>
    </row>
    <row r="824" spans="1:16" ht="15.75" customHeight="1">
      <c r="A824" s="1" t="s">
        <v>10</v>
      </c>
      <c r="B824" s="1" t="s">
        <v>4478</v>
      </c>
      <c r="C824" s="1" t="s">
        <v>4479</v>
      </c>
      <c r="D824" s="1" t="s">
        <v>4480</v>
      </c>
      <c r="E824" s="1" t="s">
        <v>4481</v>
      </c>
      <c r="F824" s="1" t="s">
        <v>4482</v>
      </c>
      <c r="H824" s="1">
        <v>5</v>
      </c>
      <c r="I824" s="1">
        <v>2022</v>
      </c>
      <c r="J824" s="1">
        <v>30</v>
      </c>
      <c r="K824" s="1">
        <v>4</v>
      </c>
      <c r="O824" s="1" t="s">
        <v>4483</v>
      </c>
    </row>
    <row r="825" spans="1:16" ht="15.75" customHeight="1">
      <c r="A825" s="1" t="s">
        <v>0</v>
      </c>
      <c r="B825" s="1" t="s">
        <v>5746</v>
      </c>
      <c r="C825" s="1" t="s">
        <v>5747</v>
      </c>
      <c r="D825" s="1" t="s">
        <v>5748</v>
      </c>
      <c r="E825" s="1" t="s">
        <v>5749</v>
      </c>
      <c r="F825" s="1" t="s">
        <v>5750</v>
      </c>
      <c r="G825" s="1">
        <v>87</v>
      </c>
      <c r="H825" s="1">
        <v>5</v>
      </c>
      <c r="I825" s="1">
        <v>2022</v>
      </c>
      <c r="J825" s="1">
        <v>112</v>
      </c>
      <c r="K825" s="1">
        <v>5</v>
      </c>
      <c r="L825" s="1">
        <v>1424</v>
      </c>
      <c r="M825" s="1">
        <v>1440</v>
      </c>
      <c r="N825" s="1" t="s">
        <v>6</v>
      </c>
      <c r="O825" s="1" t="s">
        <v>5751</v>
      </c>
      <c r="P825" s="3" t="str">
        <f>HYPERLINK("http://dx.doi.org/10.1080/24694452.2021.1976097","http://dx.doi.org/10.1080/24694452.2021.1976097")</f>
        <v>http://dx.doi.org/10.1080/24694452.2021.1976097</v>
      </c>
    </row>
    <row r="826" spans="1:16" ht="15.75" customHeight="1">
      <c r="A826" s="1" t="s">
        <v>10</v>
      </c>
      <c r="B826" s="1" t="s">
        <v>1498</v>
      </c>
      <c r="C826" s="1" t="s">
        <v>1499</v>
      </c>
      <c r="D826" s="1" t="s">
        <v>1500</v>
      </c>
      <c r="E826" s="1" t="s">
        <v>1501</v>
      </c>
      <c r="F826" s="1" t="s">
        <v>1502</v>
      </c>
      <c r="H826" s="1">
        <v>5</v>
      </c>
      <c r="I826" s="1">
        <v>2022</v>
      </c>
      <c r="J826" s="1">
        <v>2022</v>
      </c>
      <c r="K826" s="1">
        <v>81</v>
      </c>
      <c r="O826" s="1" t="s">
        <v>1503</v>
      </c>
    </row>
    <row r="827" spans="1:16" ht="15.75" customHeight="1">
      <c r="A827" s="1" t="s">
        <v>10</v>
      </c>
      <c r="B827" s="1" t="s">
        <v>3090</v>
      </c>
      <c r="C827" s="1" t="s">
        <v>3091</v>
      </c>
      <c r="D827" s="1" t="s">
        <v>452</v>
      </c>
      <c r="E827" s="1" t="s">
        <v>3092</v>
      </c>
      <c r="F827" s="1" t="s">
        <v>3093</v>
      </c>
      <c r="H827" s="1">
        <v>5</v>
      </c>
      <c r="I827" s="1">
        <v>2022</v>
      </c>
      <c r="J827" s="1">
        <v>78</v>
      </c>
      <c r="O827" s="1" t="s">
        <v>3094</v>
      </c>
    </row>
    <row r="828" spans="1:16" ht="15.75" customHeight="1">
      <c r="A828" s="1" t="s">
        <v>10</v>
      </c>
      <c r="B828" s="1" t="s">
        <v>1356</v>
      </c>
      <c r="C828" s="1" t="s">
        <v>1357</v>
      </c>
      <c r="D828" s="1" t="s">
        <v>1358</v>
      </c>
      <c r="E828" s="1" t="s">
        <v>1359</v>
      </c>
      <c r="F828" s="1" t="s">
        <v>1360</v>
      </c>
      <c r="H828" s="1">
        <v>5</v>
      </c>
      <c r="I828" s="1">
        <v>2022</v>
      </c>
      <c r="J828" s="1">
        <v>21</v>
      </c>
      <c r="K828" s="1">
        <v>1</v>
      </c>
      <c r="O828" s="1" t="s">
        <v>1361</v>
      </c>
    </row>
    <row r="829" spans="1:16" ht="15.75" customHeight="1">
      <c r="A829" s="1" t="s">
        <v>10</v>
      </c>
      <c r="B829" s="1" t="s">
        <v>268</v>
      </c>
      <c r="C829" s="1" t="s">
        <v>269</v>
      </c>
      <c r="D829" s="1" t="s">
        <v>270</v>
      </c>
      <c r="E829" s="1" t="s">
        <v>271</v>
      </c>
      <c r="F829" s="1" t="s">
        <v>272</v>
      </c>
      <c r="H829" s="1">
        <v>5</v>
      </c>
      <c r="I829" s="1">
        <v>2022</v>
      </c>
      <c r="J829" s="1">
        <v>29</v>
      </c>
      <c r="K829" s="1">
        <v>1</v>
      </c>
      <c r="O829" s="1" t="s">
        <v>273</v>
      </c>
    </row>
    <row r="830" spans="1:16" ht="15.75" customHeight="1">
      <c r="A830" s="1" t="s">
        <v>0</v>
      </c>
      <c r="B830" s="2" t="s">
        <v>741</v>
      </c>
      <c r="C830" s="1" t="s">
        <v>742</v>
      </c>
      <c r="D830" s="1" t="s">
        <v>743</v>
      </c>
      <c r="E830" s="1" t="s">
        <v>744</v>
      </c>
      <c r="F830" s="1" t="s">
        <v>745</v>
      </c>
      <c r="G830" s="1">
        <v>54</v>
      </c>
      <c r="H830" s="1">
        <v>5</v>
      </c>
      <c r="I830" s="1">
        <v>2022</v>
      </c>
      <c r="J830" s="1">
        <v>20</v>
      </c>
      <c r="K830" s="1">
        <v>3</v>
      </c>
      <c r="L830" s="1">
        <v>282</v>
      </c>
      <c r="M830" s="1">
        <v>298</v>
      </c>
      <c r="N830" s="1" t="s">
        <v>6</v>
      </c>
      <c r="O830" s="1" t="s">
        <v>746</v>
      </c>
      <c r="P830" s="3" t="str">
        <f>HYPERLINK("http://dx.doi.org/10.1080/15332985.2021.2007438","http://dx.doi.org/10.1080/15332985.2021.2007438")</f>
        <v>http://dx.doi.org/10.1080/15332985.2021.2007438</v>
      </c>
    </row>
    <row r="831" spans="1:16" ht="15.75" customHeight="1">
      <c r="A831" s="1" t="s">
        <v>0</v>
      </c>
      <c r="B831" s="1" t="s">
        <v>6417</v>
      </c>
      <c r="C831" s="1" t="s">
        <v>6418</v>
      </c>
      <c r="D831" s="1" t="s">
        <v>1645</v>
      </c>
      <c r="E831" s="1" t="s">
        <v>6419</v>
      </c>
      <c r="F831" s="1" t="s">
        <v>6420</v>
      </c>
      <c r="G831" s="1">
        <v>61</v>
      </c>
      <c r="H831" s="1">
        <v>5</v>
      </c>
      <c r="I831" s="1">
        <v>2022</v>
      </c>
      <c r="J831" s="1">
        <v>107</v>
      </c>
      <c r="K831" s="1">
        <v>2</v>
      </c>
      <c r="L831" s="1" t="s">
        <v>6</v>
      </c>
      <c r="M831" s="1" t="s">
        <v>6</v>
      </c>
      <c r="N831" s="1" t="s">
        <v>6421</v>
      </c>
      <c r="O831" s="1" t="s">
        <v>6422</v>
      </c>
      <c r="P831" s="3" t="str">
        <f>HYPERLINK("http://dx.doi.org/10.5565/rev/papers.2998","http://dx.doi.org/10.5565/rev/papers.2998")</f>
        <v>http://dx.doi.org/10.5565/rev/papers.2998</v>
      </c>
    </row>
    <row r="832" spans="1:16" ht="15.75" customHeight="1">
      <c r="A832" s="1" t="s">
        <v>0</v>
      </c>
      <c r="B832" s="1" t="s">
        <v>304</v>
      </c>
      <c r="C832" s="2" t="s">
        <v>305</v>
      </c>
      <c r="D832" s="1" t="s">
        <v>306</v>
      </c>
      <c r="E832" s="1" t="s">
        <v>307</v>
      </c>
      <c r="F832" s="1" t="s">
        <v>308</v>
      </c>
      <c r="G832" s="1">
        <v>40</v>
      </c>
      <c r="H832" s="1">
        <v>5</v>
      </c>
      <c r="I832" s="1">
        <v>2022</v>
      </c>
      <c r="J832" s="1">
        <v>159</v>
      </c>
      <c r="K832" s="1">
        <v>3</v>
      </c>
      <c r="L832" s="1">
        <v>945</v>
      </c>
      <c r="M832" s="1">
        <v>965</v>
      </c>
      <c r="N832" s="1" t="s">
        <v>6</v>
      </c>
      <c r="O832" s="1" t="s">
        <v>309</v>
      </c>
      <c r="P832" s="3" t="str">
        <f>HYPERLINK("http://dx.doi.org/10.1007/s11205-021-02782-9","http://dx.doi.org/10.1007/s11205-021-02782-9")</f>
        <v>http://dx.doi.org/10.1007/s11205-021-02782-9</v>
      </c>
    </row>
    <row r="833" spans="1:16" ht="15.75" customHeight="1">
      <c r="A833" s="1" t="s">
        <v>0</v>
      </c>
      <c r="B833" s="1" t="s">
        <v>7063</v>
      </c>
      <c r="C833" s="1" t="s">
        <v>7064</v>
      </c>
      <c r="D833" s="1" t="s">
        <v>7065</v>
      </c>
      <c r="E833" s="1" t="s">
        <v>7066</v>
      </c>
      <c r="F833" s="1" t="s">
        <v>7067</v>
      </c>
      <c r="G833" s="1">
        <v>82</v>
      </c>
      <c r="H833" s="1">
        <v>5</v>
      </c>
      <c r="I833" s="1">
        <v>2022</v>
      </c>
      <c r="J833" s="1">
        <v>28</v>
      </c>
      <c r="K833" s="1">
        <v>3</v>
      </c>
      <c r="L833" s="1">
        <v>413</v>
      </c>
      <c r="M833" s="1">
        <v>426</v>
      </c>
      <c r="N833" s="1" t="s">
        <v>6</v>
      </c>
      <c r="O833" s="1" t="s">
        <v>7068</v>
      </c>
      <c r="P833" s="3" t="str">
        <f>HYPERLINK("http://dx.doi.org/10.1037/cdp0000426","http://dx.doi.org/10.1037/cdp0000426")</f>
        <v>http://dx.doi.org/10.1037/cdp0000426</v>
      </c>
    </row>
    <row r="834" spans="1:16" ht="15.75" customHeight="1">
      <c r="A834" s="1" t="s">
        <v>10</v>
      </c>
      <c r="B834" s="1" t="s">
        <v>6391</v>
      </c>
      <c r="C834" s="1" t="s">
        <v>6392</v>
      </c>
      <c r="D834" s="1" t="s">
        <v>5682</v>
      </c>
      <c r="E834" s="1" t="s">
        <v>6393</v>
      </c>
      <c r="F834" s="1" t="s">
        <v>6394</v>
      </c>
      <c r="H834" s="1">
        <v>4</v>
      </c>
      <c r="I834" s="1">
        <v>2022</v>
      </c>
      <c r="J834" s="1">
        <v>12</v>
      </c>
      <c r="K834" s="1">
        <v>2</v>
      </c>
      <c r="O834" s="1" t="s">
        <v>6395</v>
      </c>
    </row>
    <row r="835" spans="1:16" ht="15.75" customHeight="1">
      <c r="A835" s="1" t="s">
        <v>10</v>
      </c>
      <c r="B835" s="1" t="s">
        <v>4189</v>
      </c>
      <c r="C835" s="1" t="s">
        <v>4190</v>
      </c>
      <c r="D835" s="1" t="s">
        <v>1140</v>
      </c>
      <c r="E835" s="1" t="s">
        <v>4191</v>
      </c>
      <c r="F835" s="1" t="s">
        <v>4192</v>
      </c>
      <c r="H835" s="1">
        <v>4</v>
      </c>
      <c r="I835" s="1">
        <v>2022</v>
      </c>
      <c r="J835" s="1">
        <v>45</v>
      </c>
      <c r="O835" s="1" t="s">
        <v>4193</v>
      </c>
    </row>
    <row r="836" spans="1:16" ht="15.75" customHeight="1">
      <c r="A836" s="1" t="s">
        <v>0</v>
      </c>
      <c r="B836" s="1" t="s">
        <v>256</v>
      </c>
      <c r="C836" s="1" t="s">
        <v>257</v>
      </c>
      <c r="D836" s="1" t="s">
        <v>258</v>
      </c>
      <c r="E836" s="1" t="s">
        <v>259</v>
      </c>
      <c r="F836" s="1" t="s">
        <v>260</v>
      </c>
      <c r="G836" s="1">
        <v>83</v>
      </c>
      <c r="H836" s="1">
        <v>4</v>
      </c>
      <c r="I836" s="1">
        <v>2022</v>
      </c>
      <c r="J836" s="1">
        <v>28</v>
      </c>
      <c r="K836" s="1">
        <v>4</v>
      </c>
      <c r="L836" s="1">
        <v>408</v>
      </c>
      <c r="M836" s="1">
        <v>428</v>
      </c>
      <c r="N836" s="1" t="s">
        <v>6</v>
      </c>
      <c r="O836" s="1" t="s">
        <v>261</v>
      </c>
      <c r="P836" s="3" t="str">
        <f>HYPERLINK("http://dx.doi.org/10.1080/13569775.2021.2008617","http://dx.doi.org/10.1080/13569775.2021.2008617")</f>
        <v>http://dx.doi.org/10.1080/13569775.2021.2008617</v>
      </c>
    </row>
    <row r="837" spans="1:16" ht="15.75" customHeight="1">
      <c r="A837" s="1" t="s">
        <v>0</v>
      </c>
      <c r="B837" s="1" t="s">
        <v>589</v>
      </c>
      <c r="C837" s="1" t="s">
        <v>590</v>
      </c>
      <c r="D837" s="1" t="s">
        <v>195</v>
      </c>
      <c r="E837" s="1" t="s">
        <v>591</v>
      </c>
      <c r="F837" s="1" t="s">
        <v>592</v>
      </c>
      <c r="G837" s="1">
        <v>122</v>
      </c>
      <c r="H837" s="1">
        <v>4</v>
      </c>
      <c r="I837" s="1">
        <v>2022</v>
      </c>
      <c r="J837" s="1">
        <v>54</v>
      </c>
      <c r="K837" s="1">
        <v>3</v>
      </c>
      <c r="L837" s="1">
        <v>419</v>
      </c>
      <c r="M837" s="1">
        <v>438</v>
      </c>
      <c r="N837" s="1" t="s">
        <v>6</v>
      </c>
      <c r="O837" s="1" t="s">
        <v>593</v>
      </c>
      <c r="P837" s="3" t="str">
        <f>HYPERLINK("http://dx.doi.org/10.4067/S0717-73562022005001201","http://dx.doi.org/10.4067/S0717-73562022005001201")</f>
        <v>http://dx.doi.org/10.4067/S0717-73562022005001201</v>
      </c>
    </row>
    <row r="838" spans="1:16" ht="15.75" customHeight="1">
      <c r="A838" s="1" t="s">
        <v>0</v>
      </c>
      <c r="B838" s="1" t="s">
        <v>3107</v>
      </c>
      <c r="C838" s="1" t="s">
        <v>3108</v>
      </c>
      <c r="D838" s="1" t="s">
        <v>1325</v>
      </c>
      <c r="E838" s="1" t="s">
        <v>3109</v>
      </c>
      <c r="F838" s="1" t="s">
        <v>3110</v>
      </c>
      <c r="G838" s="1">
        <v>72</v>
      </c>
      <c r="H838" s="1">
        <v>4</v>
      </c>
      <c r="I838" s="1">
        <v>2022</v>
      </c>
      <c r="J838" s="1">
        <v>23</v>
      </c>
      <c r="K838" s="1">
        <v>1</v>
      </c>
      <c r="L838" s="1">
        <v>227</v>
      </c>
      <c r="M838" s="1">
        <v>242</v>
      </c>
      <c r="N838" s="1" t="s">
        <v>6</v>
      </c>
      <c r="O838" s="1" t="s">
        <v>3111</v>
      </c>
      <c r="P838" s="3" t="str">
        <f>HYPERLINK("http://dx.doi.org/10.1007/s12134-021-00832-2","http://dx.doi.org/10.1007/s12134-021-00832-2")</f>
        <v>http://dx.doi.org/10.1007/s12134-021-00832-2</v>
      </c>
    </row>
    <row r="839" spans="1:16" ht="15.75" customHeight="1">
      <c r="A839" s="1" t="s">
        <v>0</v>
      </c>
      <c r="B839" s="1" t="s">
        <v>6016</v>
      </c>
      <c r="C839" s="1" t="s">
        <v>6017</v>
      </c>
      <c r="D839" s="1" t="s">
        <v>824</v>
      </c>
      <c r="E839" s="1" t="s">
        <v>6018</v>
      </c>
      <c r="F839" s="1" t="s">
        <v>6019</v>
      </c>
      <c r="G839" s="1">
        <v>68</v>
      </c>
      <c r="H839" s="1">
        <v>4</v>
      </c>
      <c r="I839" s="1">
        <v>2022</v>
      </c>
      <c r="J839" s="1">
        <v>45</v>
      </c>
      <c r="K839" s="1">
        <v>6</v>
      </c>
      <c r="L839" s="1">
        <v>1155</v>
      </c>
      <c r="M839" s="1">
        <v>1176</v>
      </c>
      <c r="N839" s="1" t="s">
        <v>6</v>
      </c>
      <c r="O839" s="1" t="s">
        <v>6020</v>
      </c>
      <c r="P839" s="3" t="str">
        <f>HYPERLINK("http://dx.doi.org/10.1080/01419870.2021.1986629","http://dx.doi.org/10.1080/01419870.2021.1986629")</f>
        <v>http://dx.doi.org/10.1080/01419870.2021.1986629</v>
      </c>
    </row>
    <row r="840" spans="1:16" ht="15.75" customHeight="1">
      <c r="A840" s="1" t="s">
        <v>10</v>
      </c>
      <c r="B840" s="1" t="s">
        <v>1438</v>
      </c>
      <c r="C840" s="1" t="s">
        <v>1439</v>
      </c>
      <c r="D840" s="1" t="s">
        <v>1440</v>
      </c>
      <c r="E840" s="1" t="s">
        <v>1441</v>
      </c>
      <c r="F840" s="1" t="s">
        <v>1442</v>
      </c>
      <c r="H840" s="1">
        <v>3</v>
      </c>
      <c r="I840" s="1">
        <v>2022</v>
      </c>
      <c r="J840" s="1">
        <v>31</v>
      </c>
      <c r="K840" s="1">
        <v>4</v>
      </c>
    </row>
    <row r="841" spans="1:16" ht="15.75" customHeight="1">
      <c r="A841" s="1" t="s">
        <v>10</v>
      </c>
      <c r="B841" s="1" t="s">
        <v>983</v>
      </c>
      <c r="C841" s="1" t="s">
        <v>984</v>
      </c>
      <c r="D841" s="1" t="s">
        <v>94</v>
      </c>
      <c r="E841" s="1" t="s">
        <v>985</v>
      </c>
      <c r="F841" s="1" t="s">
        <v>986</v>
      </c>
      <c r="H841" s="1">
        <v>3</v>
      </c>
      <c r="I841" s="1">
        <v>2022</v>
      </c>
      <c r="J841" s="1">
        <v>20</v>
      </c>
      <c r="K841" s="1">
        <v>2</v>
      </c>
      <c r="O841" s="1" t="s">
        <v>987</v>
      </c>
    </row>
    <row r="842" spans="1:16" ht="15.75" customHeight="1">
      <c r="A842" s="1" t="s">
        <v>10</v>
      </c>
      <c r="B842" s="1" t="s">
        <v>6785</v>
      </c>
      <c r="C842" s="1" t="s">
        <v>6786</v>
      </c>
      <c r="D842" s="1" t="s">
        <v>70</v>
      </c>
      <c r="E842" s="1" t="s">
        <v>6787</v>
      </c>
      <c r="F842" s="1" t="s">
        <v>6788</v>
      </c>
      <c r="H842" s="1">
        <v>3</v>
      </c>
      <c r="I842" s="1">
        <v>2022</v>
      </c>
      <c r="J842" s="1">
        <v>13</v>
      </c>
      <c r="O842" s="1" t="s">
        <v>6789</v>
      </c>
    </row>
    <row r="843" spans="1:16" ht="15.75" customHeight="1">
      <c r="A843" s="1" t="s">
        <v>10</v>
      </c>
      <c r="B843" s="1" t="s">
        <v>4846</v>
      </c>
      <c r="C843" s="1" t="s">
        <v>4847</v>
      </c>
      <c r="D843" s="1" t="s">
        <v>300</v>
      </c>
      <c r="E843" s="1" t="s">
        <v>4848</v>
      </c>
      <c r="F843" s="1" t="s">
        <v>4849</v>
      </c>
      <c r="H843" s="1">
        <v>3</v>
      </c>
      <c r="I843" s="1">
        <v>2022</v>
      </c>
      <c r="J843" s="1">
        <v>43</v>
      </c>
      <c r="K843" s="1">
        <v>5</v>
      </c>
      <c r="O843" s="1" t="s">
        <v>4850</v>
      </c>
    </row>
    <row r="844" spans="1:16" ht="15.75" customHeight="1">
      <c r="A844" s="1" t="s">
        <v>10</v>
      </c>
      <c r="B844" s="1" t="s">
        <v>1856</v>
      </c>
      <c r="C844" s="1" t="s">
        <v>1857</v>
      </c>
      <c r="D844" s="1" t="s">
        <v>1858</v>
      </c>
      <c r="E844" s="1" t="s">
        <v>1859</v>
      </c>
      <c r="F844" s="1" t="s">
        <v>1860</v>
      </c>
      <c r="H844" s="1">
        <v>3</v>
      </c>
      <c r="I844" s="1">
        <v>2022</v>
      </c>
      <c r="J844" s="1">
        <v>25</v>
      </c>
      <c r="K844" s="1">
        <v>45</v>
      </c>
      <c r="O844" s="1" t="s">
        <v>1861</v>
      </c>
    </row>
    <row r="845" spans="1:16" ht="15.75" customHeight="1">
      <c r="A845" s="1" t="s">
        <v>0</v>
      </c>
      <c r="B845" s="1" t="s">
        <v>6578</v>
      </c>
      <c r="C845" s="1" t="s">
        <v>6579</v>
      </c>
      <c r="D845" s="1" t="s">
        <v>6580</v>
      </c>
      <c r="E845" s="1" t="s">
        <v>6581</v>
      </c>
      <c r="F845" s="1" t="s">
        <v>6582</v>
      </c>
      <c r="G845" s="1">
        <v>41</v>
      </c>
      <c r="H845" s="1">
        <v>3</v>
      </c>
      <c r="I845" s="1">
        <v>2022</v>
      </c>
      <c r="J845" s="1" t="s">
        <v>6</v>
      </c>
      <c r="K845" s="1">
        <v>94</v>
      </c>
      <c r="L845" s="1">
        <v>115</v>
      </c>
      <c r="M845" s="1">
        <v>128</v>
      </c>
      <c r="N845" s="1" t="s">
        <v>6</v>
      </c>
      <c r="O845" s="1" t="s">
        <v>6583</v>
      </c>
      <c r="P845" s="3" t="str">
        <f>HYPERLINK("http://dx.doi.org/10.3167/fcl.2021.031103","http://dx.doi.org/10.3167/fcl.2021.031103")</f>
        <v>http://dx.doi.org/10.3167/fcl.2021.031103</v>
      </c>
    </row>
    <row r="846" spans="1:16" ht="15.75" customHeight="1">
      <c r="A846" s="1" t="s">
        <v>0</v>
      </c>
      <c r="B846" s="1" t="s">
        <v>1936</v>
      </c>
      <c r="C846" s="1" t="s">
        <v>1937</v>
      </c>
      <c r="D846" s="1" t="s">
        <v>1938</v>
      </c>
      <c r="E846" s="1" t="s">
        <v>1939</v>
      </c>
      <c r="F846" s="1" t="s">
        <v>1940</v>
      </c>
      <c r="G846" s="1">
        <v>32</v>
      </c>
      <c r="H846" s="1">
        <v>3</v>
      </c>
      <c r="I846" s="1">
        <v>2022</v>
      </c>
      <c r="J846" s="1">
        <v>10</v>
      </c>
      <c r="K846" s="1">
        <v>1</v>
      </c>
      <c r="L846" s="1">
        <v>171</v>
      </c>
      <c r="M846" s="1">
        <v>187</v>
      </c>
      <c r="N846" s="1" t="s">
        <v>6</v>
      </c>
      <c r="O846" s="1" t="s">
        <v>1941</v>
      </c>
      <c r="P846" s="3" t="str">
        <f>HYPERLINK("http://dx.doi.org/10.1017/psrm.2020.33","http://dx.doi.org/10.1017/psrm.2020.33")</f>
        <v>http://dx.doi.org/10.1017/psrm.2020.33</v>
      </c>
    </row>
    <row r="847" spans="1:16" ht="15.75" customHeight="1">
      <c r="A847" s="1" t="s">
        <v>0</v>
      </c>
      <c r="B847" s="1" t="s">
        <v>3118</v>
      </c>
      <c r="C847" s="1" t="s">
        <v>3119</v>
      </c>
      <c r="D847" s="1" t="s">
        <v>2207</v>
      </c>
      <c r="E847" s="1" t="s">
        <v>3120</v>
      </c>
      <c r="F847" s="1" t="s">
        <v>3121</v>
      </c>
      <c r="G847" s="1">
        <v>47</v>
      </c>
      <c r="H847" s="1">
        <v>3</v>
      </c>
      <c r="I847" s="1">
        <v>2022</v>
      </c>
      <c r="J847" s="1">
        <v>31</v>
      </c>
      <c r="K847" s="1" t="s">
        <v>955</v>
      </c>
      <c r="O847" s="1" t="s">
        <v>3122</v>
      </c>
    </row>
    <row r="848" spans="1:16" ht="15.75" customHeight="1">
      <c r="A848" s="1" t="s">
        <v>0</v>
      </c>
      <c r="B848" s="1" t="s">
        <v>1902</v>
      </c>
      <c r="C848" s="1" t="s">
        <v>1903</v>
      </c>
      <c r="D848" s="1" t="s">
        <v>1904</v>
      </c>
      <c r="E848" s="1" t="s">
        <v>1905</v>
      </c>
      <c r="F848" s="1" t="s">
        <v>1906</v>
      </c>
      <c r="G848" s="1">
        <v>66</v>
      </c>
      <c r="H848" s="1">
        <v>3</v>
      </c>
      <c r="I848" s="1">
        <v>2022</v>
      </c>
      <c r="J848" s="1" t="s">
        <v>6</v>
      </c>
      <c r="K848" s="1" t="s">
        <v>6</v>
      </c>
      <c r="L848" s="1" t="s">
        <v>6</v>
      </c>
      <c r="M848" s="1" t="s">
        <v>6</v>
      </c>
      <c r="N848" s="1" t="s">
        <v>6</v>
      </c>
      <c r="O848" s="1" t="s">
        <v>1907</v>
      </c>
      <c r="P848" s="3" t="str">
        <f>HYPERLINK("http://dx.doi.org/10.1080/15562948.2022.2132570","http://dx.doi.org/10.1080/15562948.2022.2132570")</f>
        <v>http://dx.doi.org/10.1080/15562948.2022.2132570</v>
      </c>
    </row>
    <row r="849" spans="1:16" ht="15.75" customHeight="1">
      <c r="A849" s="1" t="s">
        <v>10</v>
      </c>
      <c r="B849" s="1" t="s">
        <v>5806</v>
      </c>
      <c r="C849" s="1" t="s">
        <v>5807</v>
      </c>
      <c r="D849" s="1" t="s">
        <v>5808</v>
      </c>
      <c r="E849" s="1" t="s">
        <v>5809</v>
      </c>
      <c r="F849" s="1" t="s">
        <v>5810</v>
      </c>
      <c r="H849" s="1">
        <v>3</v>
      </c>
      <c r="I849" s="1">
        <v>2022</v>
      </c>
      <c r="J849" s="1">
        <v>112</v>
      </c>
      <c r="K849" s="1">
        <v>5</v>
      </c>
      <c r="O849" s="1" t="s">
        <v>5811</v>
      </c>
    </row>
    <row r="850" spans="1:16" ht="15.75" customHeight="1">
      <c r="A850" s="1" t="s">
        <v>0</v>
      </c>
      <c r="B850" s="1" t="s">
        <v>2408</v>
      </c>
      <c r="C850" s="1" t="s">
        <v>2409</v>
      </c>
      <c r="D850" s="1" t="s">
        <v>572</v>
      </c>
      <c r="E850" s="1" t="s">
        <v>2410</v>
      </c>
      <c r="F850" s="1" t="s">
        <v>2411</v>
      </c>
      <c r="G850" s="1">
        <v>75</v>
      </c>
      <c r="H850" s="1">
        <v>3</v>
      </c>
      <c r="I850" s="1">
        <v>2022</v>
      </c>
      <c r="J850" s="1">
        <v>49</v>
      </c>
      <c r="K850" s="1">
        <v>90</v>
      </c>
      <c r="L850" s="1">
        <v>119</v>
      </c>
      <c r="M850" s="1">
        <v>146</v>
      </c>
      <c r="N850" s="1" t="s">
        <v>6</v>
      </c>
      <c r="O850" s="1" t="s">
        <v>2412</v>
      </c>
      <c r="P850" s="3" t="str">
        <f>HYPERLINK("http://dx.doi.org/10.21678/apuntes.90.1409","http://dx.doi.org/10.21678/apuntes.90.1409")</f>
        <v>http://dx.doi.org/10.21678/apuntes.90.1409</v>
      </c>
    </row>
    <row r="851" spans="1:16" ht="15.75" customHeight="1">
      <c r="A851" s="1" t="s">
        <v>0</v>
      </c>
      <c r="B851" s="1" t="s">
        <v>1426</v>
      </c>
      <c r="C851" s="1" t="s">
        <v>1427</v>
      </c>
      <c r="D851" s="1" t="s">
        <v>1428</v>
      </c>
      <c r="E851" s="1" t="s">
        <v>1429</v>
      </c>
      <c r="F851" s="1" t="s">
        <v>1430</v>
      </c>
      <c r="G851" s="1">
        <v>93</v>
      </c>
      <c r="H851" s="1">
        <v>3</v>
      </c>
      <c r="I851" s="1">
        <v>2022</v>
      </c>
      <c r="J851" s="1" t="s">
        <v>6</v>
      </c>
      <c r="K851" s="1">
        <v>89</v>
      </c>
      <c r="L851" s="1">
        <v>229</v>
      </c>
      <c r="M851" s="1">
        <v>260</v>
      </c>
      <c r="N851" s="1" t="s">
        <v>6</v>
      </c>
      <c r="O851" s="1" t="s">
        <v>1431</v>
      </c>
      <c r="P851" s="3" t="str">
        <f>HYPERLINK("http://dx.doi.org/10.18800/derechopucp.202202.008","http://dx.doi.org/10.18800/derechopucp.202202.008")</f>
        <v>http://dx.doi.org/10.18800/derechopucp.202202.008</v>
      </c>
    </row>
    <row r="852" spans="1:16" ht="15.75" customHeight="1">
      <c r="A852" s="1" t="s">
        <v>0</v>
      </c>
      <c r="B852" s="1" t="s">
        <v>1461</v>
      </c>
      <c r="C852" s="1" t="s">
        <v>1462</v>
      </c>
      <c r="D852" s="1" t="s">
        <v>58</v>
      </c>
      <c r="E852" s="1" t="s">
        <v>1463</v>
      </c>
      <c r="F852" s="1" t="s">
        <v>1464</v>
      </c>
      <c r="G852" s="1">
        <v>54</v>
      </c>
      <c r="H852" s="1">
        <v>3</v>
      </c>
      <c r="I852" s="1">
        <v>2022</v>
      </c>
      <c r="J852" s="1">
        <v>22</v>
      </c>
      <c r="K852" s="1">
        <v>1</v>
      </c>
      <c r="L852" s="1">
        <v>164</v>
      </c>
      <c r="M852" s="1">
        <v>192</v>
      </c>
      <c r="N852" s="1" t="s">
        <v>6</v>
      </c>
      <c r="O852" s="1" t="s">
        <v>6</v>
      </c>
      <c r="P852" s="1" t="s">
        <v>6</v>
      </c>
    </row>
    <row r="853" spans="1:16" ht="15.75" customHeight="1">
      <c r="A853" s="1" t="s">
        <v>0</v>
      </c>
      <c r="B853" s="1" t="s">
        <v>6126</v>
      </c>
      <c r="C853" s="1" t="s">
        <v>6127</v>
      </c>
      <c r="D853" s="1" t="s">
        <v>3565</v>
      </c>
      <c r="E853" s="1" t="s">
        <v>7104</v>
      </c>
      <c r="F853" s="1" t="s">
        <v>6128</v>
      </c>
      <c r="G853" s="1">
        <v>69</v>
      </c>
      <c r="H853" s="1">
        <v>2</v>
      </c>
      <c r="I853" s="1">
        <v>2022</v>
      </c>
      <c r="J853" s="1">
        <v>13</v>
      </c>
      <c r="O853" s="1" t="s">
        <v>6129</v>
      </c>
    </row>
    <row r="854" spans="1:16" ht="15.75" customHeight="1">
      <c r="A854" s="1" t="s">
        <v>10</v>
      </c>
      <c r="B854" s="1" t="s">
        <v>5128</v>
      </c>
      <c r="C854" s="1" t="s">
        <v>5129</v>
      </c>
      <c r="D854" s="1" t="s">
        <v>858</v>
      </c>
      <c r="E854" s="1" t="s">
        <v>5130</v>
      </c>
      <c r="F854" s="1" t="s">
        <v>5131</v>
      </c>
      <c r="H854" s="1">
        <v>2</v>
      </c>
      <c r="I854" s="1">
        <v>2022</v>
      </c>
      <c r="J854" s="1">
        <v>41</v>
      </c>
      <c r="K854" s="1">
        <v>3</v>
      </c>
      <c r="O854" s="1" t="s">
        <v>5132</v>
      </c>
    </row>
    <row r="855" spans="1:16" ht="15.75" customHeight="1">
      <c r="A855" s="1" t="s">
        <v>0</v>
      </c>
      <c r="B855" s="1" t="s">
        <v>4069</v>
      </c>
      <c r="C855" s="1" t="s">
        <v>4070</v>
      </c>
      <c r="D855" s="1" t="s">
        <v>4071</v>
      </c>
      <c r="E855" s="1" t="s">
        <v>4072</v>
      </c>
      <c r="F855" s="1" t="s">
        <v>4073</v>
      </c>
      <c r="G855" s="1">
        <v>51</v>
      </c>
      <c r="H855" s="1">
        <v>2</v>
      </c>
      <c r="I855" s="1">
        <v>2022</v>
      </c>
      <c r="J855" s="1">
        <v>52</v>
      </c>
      <c r="K855" s="1">
        <v>6</v>
      </c>
      <c r="L855" s="1">
        <v>984</v>
      </c>
      <c r="M855" s="1">
        <v>997</v>
      </c>
      <c r="N855" s="1" t="s">
        <v>6</v>
      </c>
      <c r="O855" s="1" t="s">
        <v>4074</v>
      </c>
      <c r="P855" s="3" t="str">
        <f>HYPERLINK("http://dx.doi.org/10.1080/03057925.2020.1847045","http://dx.doi.org/10.1080/03057925.2020.1847045")</f>
        <v>http://dx.doi.org/10.1080/03057925.2020.1847045</v>
      </c>
    </row>
    <row r="856" spans="1:16" ht="15.75" customHeight="1">
      <c r="A856" s="1" t="s">
        <v>10</v>
      </c>
      <c r="B856" s="1" t="s">
        <v>6741</v>
      </c>
      <c r="C856" s="1" t="s">
        <v>6742</v>
      </c>
      <c r="D856" s="1" t="s">
        <v>6743</v>
      </c>
      <c r="E856" s="1" t="s">
        <v>6744</v>
      </c>
      <c r="F856" s="1" t="s">
        <v>6745</v>
      </c>
      <c r="H856" s="1">
        <v>2</v>
      </c>
      <c r="I856" s="1">
        <v>2022</v>
      </c>
      <c r="J856" s="1">
        <v>9</v>
      </c>
      <c r="K856" s="1">
        <v>2</v>
      </c>
      <c r="O856" s="1" t="s">
        <v>6746</v>
      </c>
    </row>
    <row r="857" spans="1:16" ht="15.75" customHeight="1">
      <c r="A857" s="1" t="s">
        <v>10</v>
      </c>
      <c r="B857" s="1" t="s">
        <v>2773</v>
      </c>
      <c r="C857" s="1" t="s">
        <v>2774</v>
      </c>
      <c r="D857" s="1" t="s">
        <v>2775</v>
      </c>
      <c r="E857" s="1" t="s">
        <v>2776</v>
      </c>
      <c r="F857" s="1" t="s">
        <v>2777</v>
      </c>
      <c r="H857" s="1">
        <v>2</v>
      </c>
      <c r="I857" s="1">
        <v>2022</v>
      </c>
      <c r="J857" s="1">
        <v>53</v>
      </c>
      <c r="K857" s="1">
        <v>6</v>
      </c>
      <c r="O857" s="1" t="s">
        <v>2778</v>
      </c>
    </row>
    <row r="858" spans="1:16" ht="15.75" customHeight="1">
      <c r="A858" s="1" t="s">
        <v>10</v>
      </c>
      <c r="B858" s="1" t="s">
        <v>3340</v>
      </c>
      <c r="C858" s="1" t="s">
        <v>3341</v>
      </c>
      <c r="D858" s="1" t="s">
        <v>3342</v>
      </c>
      <c r="E858" s="1" t="s">
        <v>3343</v>
      </c>
      <c r="F858" s="1" t="s">
        <v>3344</v>
      </c>
      <c r="H858" s="1">
        <v>2</v>
      </c>
      <c r="I858" s="1">
        <v>2022</v>
      </c>
      <c r="J858" s="1">
        <v>18</v>
      </c>
      <c r="K858" s="1">
        <v>4</v>
      </c>
      <c r="O858" s="1" t="s">
        <v>3345</v>
      </c>
    </row>
    <row r="859" spans="1:16" ht="15.75" customHeight="1">
      <c r="A859" s="1" t="s">
        <v>0</v>
      </c>
      <c r="B859" s="1" t="s">
        <v>1554</v>
      </c>
      <c r="C859" s="1" t="s">
        <v>1555</v>
      </c>
      <c r="D859" s="1" t="s">
        <v>1556</v>
      </c>
      <c r="E859" s="1" t="s">
        <v>1557</v>
      </c>
      <c r="F859" s="1" t="s">
        <v>1558</v>
      </c>
      <c r="G859" s="1">
        <v>33</v>
      </c>
      <c r="H859" s="1">
        <v>2</v>
      </c>
      <c r="I859" s="1">
        <v>2022</v>
      </c>
      <c r="J859" s="1">
        <v>91</v>
      </c>
      <c r="K859" s="1" t="s">
        <v>6</v>
      </c>
      <c r="L859" s="1" t="s">
        <v>6</v>
      </c>
      <c r="M859" s="1" t="s">
        <v>6</v>
      </c>
      <c r="N859" s="1">
        <v>102314</v>
      </c>
      <c r="O859" s="1" t="s">
        <v>1559</v>
      </c>
      <c r="P859" s="3" t="str">
        <f>HYPERLINK("http://dx.doi.org/10.1016/j.econedurev.2022.102314","http://dx.doi.org/10.1016/j.econedurev.2022.102314")</f>
        <v>http://dx.doi.org/10.1016/j.econedurev.2022.102314</v>
      </c>
    </row>
    <row r="860" spans="1:16" ht="15.75" customHeight="1">
      <c r="A860" s="1" t="s">
        <v>0</v>
      </c>
      <c r="B860" s="1" t="s">
        <v>6672</v>
      </c>
      <c r="C860" s="1" t="s">
        <v>6673</v>
      </c>
      <c r="D860" s="2" t="s">
        <v>1358</v>
      </c>
      <c r="E860" s="1" t="s">
        <v>6674</v>
      </c>
      <c r="F860" s="1" t="s">
        <v>6675</v>
      </c>
      <c r="G860" s="1">
        <v>31</v>
      </c>
      <c r="H860" s="1">
        <v>2</v>
      </c>
      <c r="I860" s="1">
        <v>2022</v>
      </c>
      <c r="J860" s="1">
        <v>21</v>
      </c>
      <c r="K860" s="1" t="s">
        <v>378</v>
      </c>
      <c r="O860" s="1" t="s">
        <v>6676</v>
      </c>
    </row>
    <row r="861" spans="1:16" ht="15.75" customHeight="1">
      <c r="A861" s="1" t="s">
        <v>10</v>
      </c>
      <c r="B861" s="1" t="s">
        <v>4006</v>
      </c>
      <c r="C861" s="1" t="s">
        <v>4007</v>
      </c>
      <c r="D861" s="1" t="s">
        <v>4008</v>
      </c>
      <c r="E861" s="1" t="s">
        <v>4009</v>
      </c>
      <c r="F861" s="1" t="s">
        <v>4010</v>
      </c>
      <c r="H861" s="1">
        <v>2</v>
      </c>
      <c r="I861" s="1">
        <v>2022</v>
      </c>
      <c r="J861" s="1">
        <v>53</v>
      </c>
      <c r="O861" s="1" t="s">
        <v>4011</v>
      </c>
    </row>
    <row r="862" spans="1:16" ht="15.75" customHeight="1">
      <c r="A862" s="1" t="s">
        <v>0</v>
      </c>
      <c r="B862" s="1" t="s">
        <v>4091</v>
      </c>
      <c r="C862" s="1" t="s">
        <v>4092</v>
      </c>
      <c r="D862" s="1" t="s">
        <v>1325</v>
      </c>
      <c r="E862" s="1" t="s">
        <v>4093</v>
      </c>
      <c r="F862" s="1" t="s">
        <v>4094</v>
      </c>
      <c r="G862" s="1">
        <v>77</v>
      </c>
      <c r="H862" s="1">
        <v>2</v>
      </c>
      <c r="I862" s="1">
        <v>2022</v>
      </c>
      <c r="J862" s="1">
        <v>23</v>
      </c>
      <c r="K862" s="1">
        <v>4</v>
      </c>
      <c r="L862" s="1">
        <v>2125</v>
      </c>
      <c r="M862" s="1">
        <v>2146</v>
      </c>
      <c r="N862" s="1" t="s">
        <v>6</v>
      </c>
      <c r="O862" s="1" t="s">
        <v>4095</v>
      </c>
      <c r="P862" s="3" t="str">
        <f>HYPERLINK("http://dx.doi.org/10.1007/s12134-021-00928-9","http://dx.doi.org/10.1007/s12134-021-00928-9")</f>
        <v>http://dx.doi.org/10.1007/s12134-021-00928-9</v>
      </c>
    </row>
    <row r="863" spans="1:16" ht="15.75" customHeight="1">
      <c r="A863" s="1" t="s">
        <v>0</v>
      </c>
      <c r="B863" s="1" t="s">
        <v>5395</v>
      </c>
      <c r="C863" s="1" t="s">
        <v>5396</v>
      </c>
      <c r="D863" s="1" t="s">
        <v>509</v>
      </c>
      <c r="E863" s="1" t="s">
        <v>5397</v>
      </c>
      <c r="F863" s="1" t="s">
        <v>5398</v>
      </c>
      <c r="G863" s="1">
        <v>144</v>
      </c>
      <c r="H863" s="1">
        <v>2</v>
      </c>
      <c r="I863" s="1">
        <v>2022</v>
      </c>
      <c r="J863" s="1">
        <v>91</v>
      </c>
      <c r="K863" s="1" t="s">
        <v>6</v>
      </c>
      <c r="L863" s="1">
        <v>170</v>
      </c>
      <c r="M863" s="1">
        <v>190</v>
      </c>
      <c r="N863" s="1" t="s">
        <v>6</v>
      </c>
      <c r="O863" s="1" t="s">
        <v>5399</v>
      </c>
      <c r="P863" s="3" t="str">
        <f>HYPERLINK("http://dx.doi.org/10.1016/j.ijintrel.2022.09.009","http://dx.doi.org/10.1016/j.ijintrel.2022.09.009")</f>
        <v>http://dx.doi.org/10.1016/j.ijintrel.2022.09.009</v>
      </c>
    </row>
    <row r="864" spans="1:16" ht="15.75" customHeight="1">
      <c r="A864" s="1" t="s">
        <v>10</v>
      </c>
      <c r="B864" s="1" t="s">
        <v>906</v>
      </c>
      <c r="C864" s="1" t="s">
        <v>907</v>
      </c>
      <c r="D864" s="1" t="s">
        <v>76</v>
      </c>
      <c r="E864" s="1" t="s">
        <v>908</v>
      </c>
      <c r="F864" s="1" t="s">
        <v>909</v>
      </c>
      <c r="H864" s="1">
        <v>2</v>
      </c>
      <c r="I864" s="1">
        <v>2022</v>
      </c>
      <c r="J864" s="1">
        <v>35</v>
      </c>
      <c r="K864" s="1">
        <v>2</v>
      </c>
      <c r="O864" s="1" t="s">
        <v>910</v>
      </c>
    </row>
    <row r="865" spans="1:16" ht="15.75" customHeight="1">
      <c r="A865" s="1" t="s">
        <v>10</v>
      </c>
      <c r="B865" s="1" t="s">
        <v>4883</v>
      </c>
      <c r="C865" s="1" t="s">
        <v>4884</v>
      </c>
      <c r="D865" s="1" t="s">
        <v>2166</v>
      </c>
      <c r="E865" s="1" t="s">
        <v>4885</v>
      </c>
      <c r="F865" s="1" t="s">
        <v>4886</v>
      </c>
      <c r="H865" s="1">
        <v>2</v>
      </c>
      <c r="I865" s="1">
        <v>2022</v>
      </c>
      <c r="J865" s="1">
        <v>14</v>
      </c>
      <c r="K865" s="1">
        <v>2</v>
      </c>
      <c r="O865" s="1" t="s">
        <v>4887</v>
      </c>
    </row>
    <row r="866" spans="1:16" ht="15.75" customHeight="1">
      <c r="A866" s="1" t="s">
        <v>10</v>
      </c>
      <c r="B866" s="1" t="s">
        <v>4394</v>
      </c>
      <c r="C866" s="1" t="s">
        <v>4400</v>
      </c>
      <c r="D866" s="2" t="s">
        <v>4369</v>
      </c>
      <c r="E866" s="1" t="s">
        <v>4401</v>
      </c>
      <c r="F866" s="1" t="s">
        <v>4402</v>
      </c>
      <c r="H866" s="1">
        <v>2</v>
      </c>
      <c r="I866" s="1">
        <v>2022</v>
      </c>
      <c r="K866" s="1">
        <v>67</v>
      </c>
      <c r="O866" s="1" t="s">
        <v>4403</v>
      </c>
    </row>
    <row r="867" spans="1:16" ht="15.75" customHeight="1">
      <c r="A867" s="1" t="s">
        <v>0</v>
      </c>
      <c r="B867" s="1" t="s">
        <v>3213</v>
      </c>
      <c r="C867" s="1" t="s">
        <v>3214</v>
      </c>
      <c r="D867" s="1" t="s">
        <v>1602</v>
      </c>
      <c r="E867" s="1" t="s">
        <v>3215</v>
      </c>
      <c r="F867" s="1" t="s">
        <v>3216</v>
      </c>
      <c r="G867" s="1">
        <v>47</v>
      </c>
      <c r="H867" s="1">
        <v>2</v>
      </c>
      <c r="I867" s="1">
        <v>2022</v>
      </c>
      <c r="J867" s="1">
        <v>15</v>
      </c>
      <c r="K867" s="1" t="s">
        <v>6</v>
      </c>
      <c r="L867" s="1">
        <v>1</v>
      </c>
      <c r="M867" s="1">
        <v>21</v>
      </c>
      <c r="N867" s="1" t="s">
        <v>6</v>
      </c>
      <c r="O867" s="1" t="s">
        <v>3217</v>
      </c>
      <c r="P867" s="3" t="str">
        <f>HYPERLINK("http://dx.doi.org/10.11144/Javeriana.m15.peml","http://dx.doi.org/10.11144/Javeriana.m15.peml")</f>
        <v>http://dx.doi.org/10.11144/Javeriana.m15.peml</v>
      </c>
    </row>
    <row r="868" spans="1:16" ht="15.75" customHeight="1">
      <c r="A868" s="1" t="s">
        <v>0</v>
      </c>
      <c r="B868" s="1" t="s">
        <v>3966</v>
      </c>
      <c r="C868" s="1" t="s">
        <v>3967</v>
      </c>
      <c r="D868" s="1" t="s">
        <v>578</v>
      </c>
      <c r="E868" s="1" t="s">
        <v>3968</v>
      </c>
      <c r="F868" s="1" t="s">
        <v>3969</v>
      </c>
      <c r="G868" s="1">
        <v>42</v>
      </c>
      <c r="H868" s="1">
        <v>2</v>
      </c>
      <c r="I868" s="1">
        <v>2022</v>
      </c>
      <c r="J868" s="1">
        <v>17</v>
      </c>
      <c r="K868" s="1" t="s">
        <v>581</v>
      </c>
      <c r="O868" s="1" t="s">
        <v>3970</v>
      </c>
    </row>
    <row r="869" spans="1:16" ht="15.75" customHeight="1">
      <c r="A869" s="1" t="s">
        <v>10</v>
      </c>
      <c r="B869" s="1" t="s">
        <v>3855</v>
      </c>
      <c r="C869" s="1" t="s">
        <v>3856</v>
      </c>
      <c r="D869" s="1" t="s">
        <v>94</v>
      </c>
      <c r="E869" s="1" t="s">
        <v>3857</v>
      </c>
      <c r="F869" s="1" t="s">
        <v>3858</v>
      </c>
      <c r="H869" s="1">
        <v>2</v>
      </c>
      <c r="I869" s="1">
        <v>2022</v>
      </c>
      <c r="J869" s="1">
        <v>20</v>
      </c>
      <c r="K869" s="1">
        <v>3</v>
      </c>
      <c r="O869" s="1" t="s">
        <v>3859</v>
      </c>
    </row>
    <row r="870" spans="1:16" ht="15.75" customHeight="1">
      <c r="A870" s="1" t="s">
        <v>10</v>
      </c>
      <c r="B870" s="1" t="s">
        <v>3700</v>
      </c>
      <c r="C870" s="1" t="s">
        <v>3701</v>
      </c>
      <c r="D870" s="1" t="s">
        <v>3702</v>
      </c>
      <c r="E870" s="1" t="s">
        <v>3703</v>
      </c>
      <c r="F870" s="1" t="s">
        <v>3704</v>
      </c>
      <c r="H870" s="1">
        <v>2</v>
      </c>
      <c r="I870" s="1">
        <v>2022</v>
      </c>
      <c r="J870" s="1">
        <v>10</v>
      </c>
      <c r="K870" s="1">
        <v>1</v>
      </c>
      <c r="O870" s="1" t="s">
        <v>3705</v>
      </c>
    </row>
    <row r="871" spans="1:16" ht="15.75" customHeight="1">
      <c r="A871" s="1" t="s">
        <v>0</v>
      </c>
      <c r="B871" s="1" t="s">
        <v>2195</v>
      </c>
      <c r="C871" s="1" t="s">
        <v>2201</v>
      </c>
      <c r="D871" s="1" t="s">
        <v>1325</v>
      </c>
      <c r="E871" s="1" t="s">
        <v>2202</v>
      </c>
      <c r="F871" s="1" t="s">
        <v>2203</v>
      </c>
      <c r="G871" s="1">
        <v>68</v>
      </c>
      <c r="H871" s="1">
        <v>2</v>
      </c>
      <c r="I871" s="1">
        <v>2022</v>
      </c>
      <c r="J871" s="1">
        <v>23</v>
      </c>
      <c r="K871" s="1">
        <v>4</v>
      </c>
      <c r="L871" s="1">
        <v>1921</v>
      </c>
      <c r="M871" s="1">
        <v>1940</v>
      </c>
      <c r="N871" s="1" t="s">
        <v>6</v>
      </c>
      <c r="O871" s="1" t="s">
        <v>2204</v>
      </c>
      <c r="P871" s="3" t="str">
        <f>HYPERLINK("http://dx.doi.org/10.1007/s12134-021-00918-x","http://dx.doi.org/10.1007/s12134-021-00918-x")</f>
        <v>http://dx.doi.org/10.1007/s12134-021-00918-x</v>
      </c>
    </row>
    <row r="872" spans="1:16" ht="15.75" customHeight="1">
      <c r="A872" s="1" t="s">
        <v>0</v>
      </c>
      <c r="B872" s="1" t="s">
        <v>576</v>
      </c>
      <c r="C872" s="1" t="s">
        <v>577</v>
      </c>
      <c r="D872" s="1" t="s">
        <v>578</v>
      </c>
      <c r="E872" s="1" t="s">
        <v>579</v>
      </c>
      <c r="F872" s="1" t="s">
        <v>580</v>
      </c>
      <c r="G872" s="1">
        <v>48</v>
      </c>
      <c r="H872" s="1">
        <v>2</v>
      </c>
      <c r="I872" s="1">
        <v>2022</v>
      </c>
      <c r="J872" s="1">
        <v>17</v>
      </c>
      <c r="K872" s="1" t="s">
        <v>581</v>
      </c>
      <c r="O872" s="1" t="s">
        <v>582</v>
      </c>
    </row>
    <row r="873" spans="1:16" ht="15.75" customHeight="1">
      <c r="A873" s="1" t="s">
        <v>0</v>
      </c>
      <c r="B873" s="1" t="s">
        <v>1089</v>
      </c>
      <c r="C873" s="1" t="s">
        <v>1090</v>
      </c>
      <c r="D873" s="1" t="s">
        <v>578</v>
      </c>
      <c r="E873" s="1" t="s">
        <v>1091</v>
      </c>
      <c r="F873" s="1" t="s">
        <v>1092</v>
      </c>
      <c r="G873" s="1">
        <v>40</v>
      </c>
      <c r="H873" s="1">
        <v>2</v>
      </c>
      <c r="I873" s="1">
        <v>2022</v>
      </c>
      <c r="J873" s="1">
        <v>17</v>
      </c>
      <c r="K873" s="1" t="s">
        <v>1093</v>
      </c>
      <c r="O873" s="1" t="s">
        <v>1094</v>
      </c>
    </row>
    <row r="874" spans="1:16" ht="15.75" customHeight="1">
      <c r="A874" s="1" t="s">
        <v>0</v>
      </c>
      <c r="B874" s="1" t="s">
        <v>2486</v>
      </c>
      <c r="C874" s="1" t="s">
        <v>2496</v>
      </c>
      <c r="D874" s="1" t="s">
        <v>2497</v>
      </c>
      <c r="E874" s="1" t="s">
        <v>2498</v>
      </c>
      <c r="F874" s="1" t="s">
        <v>2499</v>
      </c>
      <c r="G874" s="1">
        <v>49</v>
      </c>
      <c r="H874" s="1">
        <v>2</v>
      </c>
      <c r="I874" s="1">
        <v>2022</v>
      </c>
      <c r="J874" s="1">
        <v>35</v>
      </c>
      <c r="K874" s="1">
        <v>3</v>
      </c>
      <c r="L874" s="1">
        <v>1089</v>
      </c>
      <c r="M874" s="1">
        <v>1106</v>
      </c>
      <c r="N874" s="1" t="s">
        <v>6</v>
      </c>
      <c r="O874" s="1" t="s">
        <v>2500</v>
      </c>
      <c r="P874" s="3" t="str">
        <f>HYPERLINK("http://dx.doi.org/10.1093/jrs/feaa098","http://dx.doi.org/10.1093/jrs/feaa098")</f>
        <v>http://dx.doi.org/10.1093/jrs/feaa098</v>
      </c>
    </row>
    <row r="875" spans="1:16" ht="15.75" customHeight="1">
      <c r="A875" s="1" t="s">
        <v>0</v>
      </c>
      <c r="B875" s="1" t="s">
        <v>4754</v>
      </c>
      <c r="C875" s="1" t="s">
        <v>4755</v>
      </c>
      <c r="D875" s="1" t="s">
        <v>4756</v>
      </c>
      <c r="E875" s="1" t="s">
        <v>4757</v>
      </c>
      <c r="F875" s="1" t="s">
        <v>4758</v>
      </c>
      <c r="G875" s="1">
        <v>67</v>
      </c>
      <c r="H875" s="1">
        <v>2</v>
      </c>
      <c r="I875" s="1">
        <v>2022</v>
      </c>
      <c r="J875" s="1">
        <v>16</v>
      </c>
      <c r="K875" s="1" t="s">
        <v>378</v>
      </c>
    </row>
    <row r="876" spans="1:16" ht="15.75" customHeight="1">
      <c r="A876" s="1" t="s">
        <v>0</v>
      </c>
      <c r="B876" s="1" t="s">
        <v>4086</v>
      </c>
      <c r="C876" s="1" t="s">
        <v>4087</v>
      </c>
      <c r="D876" s="1" t="s">
        <v>1330</v>
      </c>
      <c r="E876" s="1" t="s">
        <v>4088</v>
      </c>
      <c r="F876" s="1" t="s">
        <v>4089</v>
      </c>
      <c r="G876" s="1">
        <v>71</v>
      </c>
      <c r="H876" s="1">
        <v>2</v>
      </c>
      <c r="I876" s="1">
        <v>2022</v>
      </c>
      <c r="J876" s="1">
        <v>17</v>
      </c>
      <c r="K876" s="1">
        <v>4</v>
      </c>
      <c r="L876" s="1">
        <v>545</v>
      </c>
      <c r="M876" s="1">
        <v>564</v>
      </c>
      <c r="N876" s="1" t="s">
        <v>6</v>
      </c>
      <c r="O876" s="1" t="s">
        <v>4090</v>
      </c>
      <c r="P876" s="3" t="str">
        <f>HYPERLINK("http://dx.doi.org/10.1080/17450101.2021.1999776","http://dx.doi.org/10.1080/17450101.2021.1999776")</f>
        <v>http://dx.doi.org/10.1080/17450101.2021.1999776</v>
      </c>
    </row>
    <row r="877" spans="1:16" ht="15.75" customHeight="1">
      <c r="A877" s="1" t="s">
        <v>10</v>
      </c>
      <c r="B877" s="1" t="s">
        <v>3575</v>
      </c>
      <c r="C877" s="1" t="s">
        <v>3576</v>
      </c>
      <c r="D877" s="1" t="s">
        <v>94</v>
      </c>
      <c r="E877" s="1" t="s">
        <v>3577</v>
      </c>
      <c r="F877" s="1" t="s">
        <v>3578</v>
      </c>
      <c r="H877" s="1">
        <v>1</v>
      </c>
      <c r="I877" s="1">
        <v>2022</v>
      </c>
      <c r="J877" s="1">
        <v>20</v>
      </c>
      <c r="K877" s="1">
        <v>3</v>
      </c>
      <c r="O877" s="1" t="s">
        <v>3579</v>
      </c>
    </row>
    <row r="878" spans="1:16" ht="15.75" customHeight="1">
      <c r="A878" s="1" t="s">
        <v>10</v>
      </c>
      <c r="B878" s="1" t="s">
        <v>6498</v>
      </c>
      <c r="C878" s="1" t="s">
        <v>6499</v>
      </c>
      <c r="D878" s="1" t="s">
        <v>6500</v>
      </c>
      <c r="E878" s="1" t="s">
        <v>6501</v>
      </c>
      <c r="F878" s="1" t="s">
        <v>6502</v>
      </c>
      <c r="H878" s="1">
        <v>1</v>
      </c>
      <c r="I878" s="1">
        <v>2022</v>
      </c>
      <c r="J878" s="1">
        <v>15</v>
      </c>
      <c r="K878" s="1">
        <v>6</v>
      </c>
      <c r="O878" s="1" t="s">
        <v>6503</v>
      </c>
    </row>
    <row r="879" spans="1:16" ht="15.75" customHeight="1">
      <c r="A879" s="1" t="s">
        <v>10</v>
      </c>
      <c r="B879" s="1" t="s">
        <v>5499</v>
      </c>
      <c r="C879" s="1" t="s">
        <v>5500</v>
      </c>
      <c r="D879" s="1" t="s">
        <v>100</v>
      </c>
      <c r="E879" s="1" t="s">
        <v>5501</v>
      </c>
      <c r="F879" s="1" t="s">
        <v>5502</v>
      </c>
      <c r="H879" s="1">
        <v>1</v>
      </c>
      <c r="I879" s="1">
        <v>2022</v>
      </c>
      <c r="J879" s="1">
        <v>30</v>
      </c>
      <c r="K879" s="1">
        <v>5</v>
      </c>
      <c r="O879" s="1" t="s">
        <v>5503</v>
      </c>
    </row>
    <row r="880" spans="1:16" ht="15.75" customHeight="1">
      <c r="A880" s="1" t="s">
        <v>10</v>
      </c>
      <c r="B880" s="1" t="s">
        <v>4601</v>
      </c>
      <c r="C880" s="1" t="s">
        <v>4602</v>
      </c>
      <c r="D880" s="1" t="s">
        <v>270</v>
      </c>
      <c r="E880" s="1" t="s">
        <v>4603</v>
      </c>
      <c r="F880" s="1" t="s">
        <v>4604</v>
      </c>
      <c r="H880" s="1">
        <v>1</v>
      </c>
      <c r="I880" s="1">
        <v>2022</v>
      </c>
      <c r="J880" s="1">
        <v>29</v>
      </c>
      <c r="K880" s="1">
        <v>2</v>
      </c>
      <c r="O880" s="1" t="s">
        <v>4605</v>
      </c>
    </row>
    <row r="881" spans="1:16" ht="15.75" customHeight="1">
      <c r="A881" s="1" t="s">
        <v>10</v>
      </c>
      <c r="B881" s="1" t="s">
        <v>5591</v>
      </c>
      <c r="C881" s="1" t="s">
        <v>5592</v>
      </c>
      <c r="D881" s="1" t="s">
        <v>27</v>
      </c>
      <c r="E881" s="1" t="s">
        <v>5593</v>
      </c>
      <c r="F881" s="1" t="s">
        <v>5594</v>
      </c>
      <c r="H881" s="1">
        <v>1</v>
      </c>
      <c r="I881" s="1">
        <v>2022</v>
      </c>
      <c r="J881" s="1">
        <v>14</v>
      </c>
      <c r="K881" s="1">
        <v>1</v>
      </c>
      <c r="O881" s="1" t="s">
        <v>5595</v>
      </c>
    </row>
    <row r="882" spans="1:16" ht="15.75" customHeight="1">
      <c r="A882" s="1" t="s">
        <v>0</v>
      </c>
      <c r="B882" s="1" t="s">
        <v>1759</v>
      </c>
      <c r="C882" s="1" t="s">
        <v>1760</v>
      </c>
      <c r="D882" s="1" t="s">
        <v>1761</v>
      </c>
      <c r="E882" s="1" t="s">
        <v>1762</v>
      </c>
      <c r="F882" s="1" t="s">
        <v>1763</v>
      </c>
      <c r="G882" s="1">
        <v>95</v>
      </c>
      <c r="H882" s="1">
        <v>1</v>
      </c>
      <c r="I882" s="1">
        <v>2022</v>
      </c>
      <c r="J882" s="1">
        <v>13</v>
      </c>
      <c r="K882" s="1">
        <v>2</v>
      </c>
      <c r="L882" s="1">
        <v>355</v>
      </c>
      <c r="M882" s="1">
        <v>384</v>
      </c>
      <c r="N882" s="1" t="s">
        <v>6</v>
      </c>
      <c r="O882" s="1" t="s">
        <v>1764</v>
      </c>
      <c r="P882" s="3" t="str">
        <f>HYPERLINK("http://dx.doi.org/10.5209/geop.83407","http://dx.doi.org/10.5209/geop.83407")</f>
        <v>http://dx.doi.org/10.5209/geop.83407</v>
      </c>
    </row>
    <row r="883" spans="1:16" ht="15.75" customHeight="1">
      <c r="A883" s="1" t="s">
        <v>0</v>
      </c>
      <c r="B883" s="1" t="s">
        <v>6553</v>
      </c>
      <c r="C883" s="1" t="s">
        <v>6554</v>
      </c>
      <c r="D883" s="1" t="s">
        <v>803</v>
      </c>
      <c r="E883" s="1" t="s">
        <v>6555</v>
      </c>
      <c r="F883" s="1" t="s">
        <v>6556</v>
      </c>
      <c r="G883" s="1">
        <v>35</v>
      </c>
      <c r="H883" s="1">
        <v>1</v>
      </c>
      <c r="I883" s="1">
        <v>2022</v>
      </c>
      <c r="J883" s="1">
        <v>32</v>
      </c>
      <c r="K883" s="1">
        <v>2</v>
      </c>
      <c r="L883" s="1">
        <v>199</v>
      </c>
      <c r="M883" s="1">
        <v>212</v>
      </c>
      <c r="N883" s="1" t="s">
        <v>6</v>
      </c>
      <c r="O883" s="1" t="s">
        <v>6557</v>
      </c>
      <c r="P883" s="3" t="str">
        <f>HYPERLINK("http://dx.doi.org/10.15446/bitacora.v32n2.99215","http://dx.doi.org/10.15446/bitacora.v32n2.99215")</f>
        <v>http://dx.doi.org/10.15446/bitacora.v32n2.99215</v>
      </c>
    </row>
    <row r="884" spans="1:16" ht="15.75" customHeight="1">
      <c r="A884" s="1" t="s">
        <v>10</v>
      </c>
      <c r="B884" s="1" t="s">
        <v>1095</v>
      </c>
      <c r="C884" s="1" t="s">
        <v>1096</v>
      </c>
      <c r="D884" s="1" t="s">
        <v>1097</v>
      </c>
      <c r="E884" s="1" t="s">
        <v>1098</v>
      </c>
      <c r="F884" s="1" t="s">
        <v>1099</v>
      </c>
      <c r="H884" s="1">
        <v>1</v>
      </c>
      <c r="I884" s="1">
        <v>2022</v>
      </c>
      <c r="J884" s="1">
        <v>31</v>
      </c>
      <c r="K884" s="1">
        <v>1</v>
      </c>
      <c r="O884" s="1" t="s">
        <v>1100</v>
      </c>
    </row>
    <row r="885" spans="1:16" ht="15.75" customHeight="1">
      <c r="A885" s="1" t="s">
        <v>10</v>
      </c>
      <c r="B885" s="1" t="s">
        <v>3027</v>
      </c>
      <c r="C885" s="1" t="s">
        <v>3028</v>
      </c>
      <c r="D885" s="1" t="s">
        <v>3029</v>
      </c>
      <c r="E885" s="1" t="s">
        <v>3030</v>
      </c>
      <c r="F885" s="1" t="s">
        <v>3031</v>
      </c>
      <c r="H885" s="1">
        <v>1</v>
      </c>
      <c r="I885" s="1">
        <v>2022</v>
      </c>
      <c r="J885" s="1">
        <v>51</v>
      </c>
      <c r="O885" s="1" t="s">
        <v>3032</v>
      </c>
    </row>
    <row r="886" spans="1:16" ht="15.75" customHeight="1">
      <c r="A886" s="1" t="s">
        <v>10</v>
      </c>
      <c r="B886" s="1" t="s">
        <v>6717</v>
      </c>
      <c r="C886" s="1" t="s">
        <v>6718</v>
      </c>
      <c r="D886" s="2" t="s">
        <v>418</v>
      </c>
      <c r="E886" s="1" t="s">
        <v>6719</v>
      </c>
      <c r="F886" s="1" t="s">
        <v>6720</v>
      </c>
      <c r="H886" s="1">
        <v>1</v>
      </c>
      <c r="I886" s="1">
        <v>2022</v>
      </c>
      <c r="J886" s="1">
        <v>13</v>
      </c>
      <c r="O886" s="1" t="s">
        <v>6721</v>
      </c>
    </row>
    <row r="887" spans="1:16" ht="15.75" customHeight="1">
      <c r="A887" s="1" t="s">
        <v>10</v>
      </c>
      <c r="B887" s="1" t="s">
        <v>5186</v>
      </c>
      <c r="C887" s="1" t="s">
        <v>5187</v>
      </c>
      <c r="D887" s="1" t="s">
        <v>5188</v>
      </c>
      <c r="E887" s="1" t="s">
        <v>5189</v>
      </c>
      <c r="F887" s="1" t="s">
        <v>5190</v>
      </c>
      <c r="H887" s="1">
        <v>1</v>
      </c>
      <c r="I887" s="1">
        <v>2022</v>
      </c>
      <c r="J887" s="1">
        <v>22</v>
      </c>
      <c r="K887" s="1">
        <v>2</v>
      </c>
      <c r="O887" s="1" t="s">
        <v>5191</v>
      </c>
    </row>
    <row r="888" spans="1:16" ht="15.75" customHeight="1">
      <c r="A888" s="1" t="s">
        <v>10</v>
      </c>
      <c r="B888" s="1" t="s">
        <v>1878</v>
      </c>
      <c r="C888" s="1" t="s">
        <v>1879</v>
      </c>
      <c r="D888" s="1" t="s">
        <v>1880</v>
      </c>
      <c r="E888" s="1" t="s">
        <v>1881</v>
      </c>
      <c r="F888" s="1" t="s">
        <v>1882</v>
      </c>
      <c r="H888" s="1">
        <v>1</v>
      </c>
      <c r="I888" s="1">
        <v>2022</v>
      </c>
      <c r="J888" s="1">
        <v>30</v>
      </c>
      <c r="O888" s="1" t="s">
        <v>1883</v>
      </c>
    </row>
    <row r="889" spans="1:16" ht="15.75" customHeight="1">
      <c r="A889" s="1" t="s">
        <v>10</v>
      </c>
      <c r="B889" s="1" t="s">
        <v>4616</v>
      </c>
      <c r="C889" s="1" t="s">
        <v>4617</v>
      </c>
      <c r="D889" s="1" t="s">
        <v>1236</v>
      </c>
      <c r="E889" s="1" t="s">
        <v>4618</v>
      </c>
      <c r="F889" s="1" t="s">
        <v>4619</v>
      </c>
      <c r="H889" s="1">
        <v>1</v>
      </c>
      <c r="I889" s="1">
        <v>2022</v>
      </c>
      <c r="J889" s="1">
        <v>40</v>
      </c>
      <c r="K889" s="1">
        <v>3</v>
      </c>
      <c r="O889" s="1" t="s">
        <v>4620</v>
      </c>
    </row>
    <row r="890" spans="1:16" ht="15.75" customHeight="1">
      <c r="A890" s="1" t="s">
        <v>10</v>
      </c>
      <c r="B890" s="1" t="s">
        <v>1380</v>
      </c>
      <c r="C890" s="1" t="s">
        <v>1381</v>
      </c>
      <c r="D890" s="1" t="s">
        <v>1382</v>
      </c>
      <c r="E890" s="1" t="s">
        <v>1383</v>
      </c>
      <c r="F890" s="1" t="s">
        <v>1384</v>
      </c>
      <c r="H890" s="1">
        <v>1</v>
      </c>
      <c r="I890" s="1">
        <v>2022</v>
      </c>
      <c r="J890" s="1">
        <v>35</v>
      </c>
      <c r="K890" s="1">
        <v>1</v>
      </c>
      <c r="O890" s="1" t="s">
        <v>1385</v>
      </c>
    </row>
    <row r="891" spans="1:16" ht="15.75" customHeight="1">
      <c r="A891" s="1" t="s">
        <v>0</v>
      </c>
      <c r="B891" s="1" t="s">
        <v>1677</v>
      </c>
      <c r="C891" s="1" t="s">
        <v>1678</v>
      </c>
      <c r="D891" s="1" t="s">
        <v>1679</v>
      </c>
      <c r="E891" s="1" t="s">
        <v>1680</v>
      </c>
      <c r="F891" s="1" t="s">
        <v>1681</v>
      </c>
      <c r="G891" s="1">
        <v>8</v>
      </c>
      <c r="H891" s="1">
        <v>1</v>
      </c>
      <c r="I891" s="1">
        <v>2022</v>
      </c>
      <c r="J891" s="1">
        <v>10</v>
      </c>
      <c r="K891" s="1">
        <v>1</v>
      </c>
      <c r="L891" s="1">
        <v>1</v>
      </c>
      <c r="M891" s="1">
        <v>4</v>
      </c>
      <c r="N891" s="1" t="s">
        <v>6</v>
      </c>
      <c r="O891" s="1" t="s">
        <v>1682</v>
      </c>
      <c r="P891" s="3" t="str">
        <f>HYPERLINK("http://dx.doi.org/10.17645/si.v10i1.5240","http://dx.doi.org/10.17645/si.v10i1.5240")</f>
        <v>http://dx.doi.org/10.17645/si.v10i1.5240</v>
      </c>
    </row>
    <row r="892" spans="1:16" ht="15.75" customHeight="1">
      <c r="A892" s="1" t="s">
        <v>0</v>
      </c>
      <c r="B892" s="1" t="s">
        <v>3408</v>
      </c>
      <c r="C892" s="1" t="s">
        <v>3409</v>
      </c>
      <c r="D892" s="1" t="s">
        <v>1602</v>
      </c>
      <c r="E892" s="1" t="s">
        <v>3410</v>
      </c>
      <c r="F892" s="1" t="s">
        <v>3411</v>
      </c>
      <c r="G892" s="1">
        <v>50</v>
      </c>
      <c r="H892" s="1">
        <v>1</v>
      </c>
      <c r="I892" s="1">
        <v>2022</v>
      </c>
      <c r="J892" s="1">
        <v>15</v>
      </c>
      <c r="K892" s="1" t="s">
        <v>6</v>
      </c>
      <c r="L892" s="1" t="s">
        <v>6</v>
      </c>
      <c r="M892" s="1" t="s">
        <v>6</v>
      </c>
      <c r="N892" s="1" t="s">
        <v>6</v>
      </c>
      <c r="O892" s="1" t="s">
        <v>3412</v>
      </c>
      <c r="P892" s="3" t="str">
        <f>HYPERLINK("http://dx.doi.org/10.11144/Javeriana.m15.eefi","http://dx.doi.org/10.11144/Javeriana.m15.eefi")</f>
        <v>http://dx.doi.org/10.11144/Javeriana.m15.eefi</v>
      </c>
    </row>
    <row r="893" spans="1:16" ht="15.75" customHeight="1">
      <c r="A893" s="1" t="s">
        <v>10</v>
      </c>
      <c r="B893" s="1" t="s">
        <v>4018</v>
      </c>
      <c r="C893" s="1" t="s">
        <v>4019</v>
      </c>
      <c r="D893" s="1" t="s">
        <v>4020</v>
      </c>
      <c r="E893" s="1" t="s">
        <v>4021</v>
      </c>
      <c r="F893" s="1" t="s">
        <v>4022</v>
      </c>
      <c r="H893" s="1">
        <v>1</v>
      </c>
      <c r="I893" s="1">
        <v>2022</v>
      </c>
      <c r="J893" s="1">
        <v>82</v>
      </c>
      <c r="K893" s="1">
        <v>285</v>
      </c>
      <c r="O893" s="1" t="s">
        <v>4023</v>
      </c>
    </row>
    <row r="894" spans="1:16" ht="15.75" customHeight="1">
      <c r="A894" s="1" t="s">
        <v>0</v>
      </c>
      <c r="B894" s="1" t="s">
        <v>6752</v>
      </c>
      <c r="C894" s="1" t="s">
        <v>6753</v>
      </c>
      <c r="D894" s="1" t="s">
        <v>6754</v>
      </c>
      <c r="E894" s="1" t="s">
        <v>6755</v>
      </c>
      <c r="F894" s="1" t="s">
        <v>6756</v>
      </c>
      <c r="G894" s="1">
        <v>71</v>
      </c>
      <c r="H894" s="1">
        <v>1</v>
      </c>
      <c r="I894" s="1">
        <v>2022</v>
      </c>
      <c r="J894" s="1">
        <v>20</v>
      </c>
      <c r="K894" s="1">
        <v>8</v>
      </c>
      <c r="L894" s="1">
        <v>893</v>
      </c>
      <c r="M894" s="1">
        <v>906</v>
      </c>
      <c r="N894" s="1" t="s">
        <v>6</v>
      </c>
      <c r="O894" s="1" t="s">
        <v>6757</v>
      </c>
      <c r="P894" s="3" t="str">
        <f>HYPERLINK("http://dx.doi.org/10.1177/14782103211066665","http://dx.doi.org/10.1177/14782103211066665")</f>
        <v>http://dx.doi.org/10.1177/14782103211066665</v>
      </c>
    </row>
    <row r="895" spans="1:16" ht="15.75" customHeight="1">
      <c r="A895" s="1" t="s">
        <v>10</v>
      </c>
      <c r="B895" s="1" t="s">
        <v>3191</v>
      </c>
      <c r="C895" s="1" t="s">
        <v>3192</v>
      </c>
      <c r="D895" s="1" t="s">
        <v>3018</v>
      </c>
      <c r="E895" s="1" t="s">
        <v>3193</v>
      </c>
      <c r="F895" s="1" t="s">
        <v>3194</v>
      </c>
      <c r="H895" s="1">
        <v>1</v>
      </c>
      <c r="I895" s="1">
        <v>2022</v>
      </c>
      <c r="J895" s="1">
        <v>92</v>
      </c>
      <c r="O895" s="1" t="s">
        <v>3195</v>
      </c>
    </row>
    <row r="896" spans="1:16" ht="15.75" customHeight="1">
      <c r="A896" s="1" t="s">
        <v>10</v>
      </c>
      <c r="B896" s="1" t="s">
        <v>3903</v>
      </c>
      <c r="C896" s="1" t="s">
        <v>3904</v>
      </c>
      <c r="D896" s="1" t="s">
        <v>3905</v>
      </c>
      <c r="E896" s="1" t="s">
        <v>3906</v>
      </c>
      <c r="F896" s="1" t="s">
        <v>3907</v>
      </c>
      <c r="H896" s="1">
        <v>1</v>
      </c>
      <c r="I896" s="1">
        <v>2022</v>
      </c>
      <c r="J896" s="1">
        <v>5</v>
      </c>
      <c r="K896" s="1">
        <v>1</v>
      </c>
      <c r="O896" s="1" t="s">
        <v>3908</v>
      </c>
    </row>
    <row r="897" spans="1:16" ht="15.75" customHeight="1">
      <c r="A897" s="1" t="s">
        <v>10</v>
      </c>
      <c r="B897" s="1" t="s">
        <v>2185</v>
      </c>
      <c r="C897" s="1" t="s">
        <v>2186</v>
      </c>
      <c r="D897" s="1" t="s">
        <v>1517</v>
      </c>
      <c r="E897" s="1" t="s">
        <v>2187</v>
      </c>
      <c r="F897" s="1" t="s">
        <v>2188</v>
      </c>
      <c r="H897" s="1">
        <v>1</v>
      </c>
      <c r="I897" s="1">
        <v>2022</v>
      </c>
      <c r="J897" s="1">
        <v>60</v>
      </c>
      <c r="K897" s="1">
        <v>2</v>
      </c>
      <c r="O897" s="1" t="s">
        <v>2189</v>
      </c>
    </row>
    <row r="898" spans="1:16" ht="15.75" customHeight="1">
      <c r="A898" s="1" t="s">
        <v>10</v>
      </c>
      <c r="B898" s="1" t="s">
        <v>4335</v>
      </c>
      <c r="C898" s="1" t="s">
        <v>4336</v>
      </c>
      <c r="D898" s="1" t="s">
        <v>4337</v>
      </c>
      <c r="E898" s="1" t="s">
        <v>4338</v>
      </c>
      <c r="F898" s="1" t="s">
        <v>4339</v>
      </c>
      <c r="H898" s="1">
        <v>1</v>
      </c>
      <c r="I898" s="1">
        <v>2022</v>
      </c>
      <c r="J898" s="1">
        <v>101</v>
      </c>
      <c r="K898" s="1">
        <v>1</v>
      </c>
      <c r="O898" s="1" t="s">
        <v>4340</v>
      </c>
    </row>
    <row r="899" spans="1:16" ht="15.75" customHeight="1">
      <c r="A899" s="1" t="s">
        <v>10</v>
      </c>
      <c r="B899" s="1" t="s">
        <v>548</v>
      </c>
      <c r="C899" s="1" t="s">
        <v>549</v>
      </c>
      <c r="D899" s="1" t="s">
        <v>550</v>
      </c>
      <c r="E899" s="1" t="s">
        <v>551</v>
      </c>
      <c r="F899" s="1" t="s">
        <v>552</v>
      </c>
      <c r="H899" s="1">
        <v>1</v>
      </c>
      <c r="I899" s="1">
        <v>2022</v>
      </c>
      <c r="J899" s="1">
        <v>15</v>
      </c>
      <c r="O899" s="1" t="s">
        <v>553</v>
      </c>
    </row>
    <row r="900" spans="1:16" ht="15.75" customHeight="1">
      <c r="A900" s="1" t="s">
        <v>0</v>
      </c>
      <c r="B900" s="1" t="s">
        <v>2114</v>
      </c>
      <c r="C900" s="1" t="s">
        <v>2115</v>
      </c>
      <c r="D900" s="1" t="s">
        <v>2116</v>
      </c>
      <c r="E900" s="1" t="s">
        <v>2117</v>
      </c>
      <c r="F900" s="1" t="s">
        <v>2118</v>
      </c>
      <c r="G900" s="1">
        <v>122</v>
      </c>
      <c r="H900" s="1">
        <v>1</v>
      </c>
      <c r="I900" s="1">
        <v>2022</v>
      </c>
      <c r="J900" s="1">
        <v>12</v>
      </c>
      <c r="K900" s="1">
        <v>2</v>
      </c>
      <c r="L900" s="1">
        <v>287</v>
      </c>
      <c r="M900" s="1">
        <v>327</v>
      </c>
      <c r="N900" s="1" t="s">
        <v>6</v>
      </c>
      <c r="O900" s="1" t="s">
        <v>2119</v>
      </c>
      <c r="P900" s="3" t="str">
        <f>HYPERLINK("http://dx.doi.org/10.35295/OSLS.IISL/0000-0000-0000-1227","http://dx.doi.org/10.35295/OSLS.IISL/0000-0000-0000-1227")</f>
        <v>http://dx.doi.org/10.35295/OSLS.IISL/0000-0000-0000-1227</v>
      </c>
    </row>
    <row r="901" spans="1:16" ht="15.75" customHeight="1">
      <c r="A901" s="1" t="s">
        <v>0</v>
      </c>
      <c r="B901" s="1" t="s">
        <v>4145</v>
      </c>
      <c r="C901" s="1" t="s">
        <v>4146</v>
      </c>
      <c r="D901" s="1" t="s">
        <v>1467</v>
      </c>
      <c r="E901" s="1" t="s">
        <v>4147</v>
      </c>
      <c r="F901" s="1" t="s">
        <v>4148</v>
      </c>
      <c r="G901" s="1">
        <v>54</v>
      </c>
      <c r="H901" s="1">
        <v>1</v>
      </c>
      <c r="I901" s="1">
        <v>2022</v>
      </c>
      <c r="J901" s="1">
        <v>26</v>
      </c>
      <c r="K901" s="1">
        <v>3</v>
      </c>
      <c r="L901" s="1">
        <v>530</v>
      </c>
      <c r="M901" s="1">
        <v>540</v>
      </c>
      <c r="N901" s="1" t="s">
        <v>6</v>
      </c>
      <c r="O901" s="1" t="s">
        <v>4149</v>
      </c>
      <c r="P901" s="3" t="str">
        <f>HYPERLINK("http://dx.doi.org/10.4013/hist.2022.263.11","http://dx.doi.org/10.4013/hist.2022.263.11")</f>
        <v>http://dx.doi.org/10.4013/hist.2022.263.11</v>
      </c>
    </row>
    <row r="902" spans="1:16" ht="15.75" customHeight="1">
      <c r="A902" s="1" t="s">
        <v>10</v>
      </c>
      <c r="B902" s="1" t="s">
        <v>5848</v>
      </c>
      <c r="C902" s="1" t="s">
        <v>5849</v>
      </c>
      <c r="D902" s="1" t="s">
        <v>848</v>
      </c>
      <c r="E902" s="1" t="s">
        <v>5850</v>
      </c>
      <c r="F902" s="1" t="s">
        <v>5851</v>
      </c>
      <c r="H902" s="1">
        <v>1</v>
      </c>
      <c r="I902" s="1">
        <v>2022</v>
      </c>
      <c r="J902" s="1">
        <v>126</v>
      </c>
      <c r="O902" s="1" t="s">
        <v>5852</v>
      </c>
    </row>
    <row r="903" spans="1:16" ht="15.75" customHeight="1">
      <c r="A903" s="1" t="s">
        <v>0</v>
      </c>
      <c r="B903" s="1" t="s">
        <v>5700</v>
      </c>
      <c r="C903" s="1" t="s">
        <v>5701</v>
      </c>
      <c r="D903" s="1" t="s">
        <v>2910</v>
      </c>
      <c r="E903" s="1" t="s">
        <v>5702</v>
      </c>
      <c r="F903" s="1" t="s">
        <v>5703</v>
      </c>
      <c r="G903" s="1">
        <v>40</v>
      </c>
      <c r="H903" s="1">
        <v>1</v>
      </c>
      <c r="I903" s="1">
        <v>2022</v>
      </c>
      <c r="J903" s="1">
        <v>23</v>
      </c>
      <c r="K903" s="1" t="s">
        <v>6</v>
      </c>
      <c r="L903" s="1" t="s">
        <v>6</v>
      </c>
      <c r="M903" s="1" t="s">
        <v>6</v>
      </c>
      <c r="N903" s="1" t="s">
        <v>5704</v>
      </c>
      <c r="O903" s="1" t="s">
        <v>5705</v>
      </c>
      <c r="P903" s="3" t="str">
        <f>HYPERLINK("http://dx.doi.org/10.21670/ref.2201085","http://dx.doi.org/10.21670/ref.2201085")</f>
        <v>http://dx.doi.org/10.21670/ref.2201085</v>
      </c>
    </row>
    <row r="904" spans="1:16" ht="15.75" customHeight="1">
      <c r="A904" s="1" t="s">
        <v>10</v>
      </c>
      <c r="B904" s="1" t="s">
        <v>1228</v>
      </c>
      <c r="C904" s="1" t="s">
        <v>1229</v>
      </c>
      <c r="D904" s="1" t="s">
        <v>1230</v>
      </c>
      <c r="E904" s="1" t="s">
        <v>1231</v>
      </c>
      <c r="F904" s="1" t="s">
        <v>1232</v>
      </c>
      <c r="H904" s="1">
        <v>1</v>
      </c>
      <c r="I904" s="1">
        <v>2022</v>
      </c>
      <c r="J904" s="1">
        <v>97</v>
      </c>
      <c r="O904" s="1" t="s">
        <v>1233</v>
      </c>
    </row>
    <row r="905" spans="1:16" ht="15.75" customHeight="1">
      <c r="A905" s="1" t="s">
        <v>0</v>
      </c>
      <c r="B905" s="1" t="s">
        <v>2126</v>
      </c>
      <c r="C905" s="1" t="s">
        <v>2127</v>
      </c>
      <c r="D905" s="1" t="s">
        <v>2128</v>
      </c>
      <c r="E905" s="1" t="s">
        <v>2129</v>
      </c>
      <c r="F905" s="1" t="s">
        <v>2130</v>
      </c>
      <c r="G905" s="1">
        <v>98</v>
      </c>
      <c r="H905" s="1">
        <v>1</v>
      </c>
      <c r="I905" s="1">
        <v>2022</v>
      </c>
      <c r="J905" s="1">
        <v>49</v>
      </c>
      <c r="K905" s="1">
        <v>2</v>
      </c>
      <c r="L905" s="1">
        <v>43</v>
      </c>
      <c r="M905" s="1">
        <v>70</v>
      </c>
      <c r="N905" s="1" t="s">
        <v>6</v>
      </c>
      <c r="O905" s="1" t="s">
        <v>2131</v>
      </c>
      <c r="P905" s="3" t="str">
        <f>HYPERLINK("http://dx.doi.org/10.7764/R.492.3","http://dx.doi.org/10.7764/R.492.3")</f>
        <v>http://dx.doi.org/10.7764/R.492.3</v>
      </c>
    </row>
    <row r="906" spans="1:16" ht="15.75" customHeight="1">
      <c r="A906" s="1" t="s">
        <v>10</v>
      </c>
      <c r="B906" s="1" t="s">
        <v>7042</v>
      </c>
      <c r="C906" s="1" t="s">
        <v>7043</v>
      </c>
      <c r="D906" s="1" t="s">
        <v>7044</v>
      </c>
      <c r="E906" s="1" t="s">
        <v>7045</v>
      </c>
      <c r="F906" s="1" t="s">
        <v>7046</v>
      </c>
      <c r="H906" s="1">
        <v>1</v>
      </c>
      <c r="I906" s="1">
        <v>2022</v>
      </c>
      <c r="J906" s="1">
        <v>28</v>
      </c>
      <c r="K906" s="1">
        <v>1</v>
      </c>
      <c r="O906" s="1" t="s">
        <v>7047</v>
      </c>
    </row>
    <row r="907" spans="1:16" ht="15.75" customHeight="1">
      <c r="A907" s="1" t="s">
        <v>0</v>
      </c>
      <c r="B907" s="1" t="s">
        <v>5147</v>
      </c>
      <c r="C907" s="1" t="s">
        <v>5148</v>
      </c>
      <c r="D907" s="1" t="s">
        <v>201</v>
      </c>
      <c r="E907" s="1" t="s">
        <v>5149</v>
      </c>
      <c r="F907" s="1" t="s">
        <v>5150</v>
      </c>
      <c r="G907" s="1">
        <v>91</v>
      </c>
      <c r="H907" s="1">
        <v>1</v>
      </c>
      <c r="I907" s="1">
        <v>2022</v>
      </c>
      <c r="J907" s="1" t="s">
        <v>6</v>
      </c>
      <c r="K907" s="1">
        <v>68</v>
      </c>
      <c r="L907" s="1" t="s">
        <v>6</v>
      </c>
      <c r="M907" s="1" t="s">
        <v>6</v>
      </c>
      <c r="N907" s="1" t="s">
        <v>5151</v>
      </c>
      <c r="O907" s="1" t="s">
        <v>5152</v>
      </c>
      <c r="P907" s="3" t="str">
        <f>HYPERLINK("http://dx.doi.org/10.22199/issn.0718-1043-2022-0020","http://dx.doi.org/10.22199/issn.0718-1043-2022-0020")</f>
        <v>http://dx.doi.org/10.22199/issn.0718-1043-2022-0020</v>
      </c>
    </row>
    <row r="908" spans="1:16" ht="15.75" customHeight="1">
      <c r="A908" s="1" t="s">
        <v>0</v>
      </c>
      <c r="B908" s="1" t="s">
        <v>1483</v>
      </c>
      <c r="C908" s="1" t="s">
        <v>1484</v>
      </c>
      <c r="D908" s="1" t="s">
        <v>1428</v>
      </c>
      <c r="E908" s="1" t="s">
        <v>1485</v>
      </c>
      <c r="F908" s="1" t="s">
        <v>1486</v>
      </c>
      <c r="G908" s="1">
        <v>48</v>
      </c>
      <c r="H908" s="1">
        <v>1</v>
      </c>
      <c r="I908" s="1">
        <v>2022</v>
      </c>
      <c r="J908" s="1" t="s">
        <v>6</v>
      </c>
      <c r="K908" s="1">
        <v>89</v>
      </c>
      <c r="L908" s="1">
        <v>9</v>
      </c>
      <c r="M908" s="1">
        <v>36</v>
      </c>
      <c r="N908" s="1" t="s">
        <v>6</v>
      </c>
      <c r="O908" s="1" t="s">
        <v>1487</v>
      </c>
      <c r="P908" s="3" t="str">
        <f>HYPERLINK("http://dx.doi.org/10.18800/derechopucp.202202.001","http://dx.doi.org/10.18800/derechopucp.202202.001")</f>
        <v>http://dx.doi.org/10.18800/derechopucp.202202.001</v>
      </c>
    </row>
    <row r="909" spans="1:16" ht="15.75" customHeight="1">
      <c r="A909" s="1" t="s">
        <v>0</v>
      </c>
      <c r="B909" s="1" t="s">
        <v>1600</v>
      </c>
      <c r="C909" s="1" t="s">
        <v>1601</v>
      </c>
      <c r="D909" s="1" t="s">
        <v>1602</v>
      </c>
      <c r="E909" s="1" t="s">
        <v>1603</v>
      </c>
      <c r="F909" s="1" t="s">
        <v>1604</v>
      </c>
      <c r="G909" s="1">
        <v>58</v>
      </c>
      <c r="H909" s="1">
        <v>1</v>
      </c>
      <c r="I909" s="1">
        <v>2022</v>
      </c>
      <c r="J909" s="1">
        <v>15</v>
      </c>
      <c r="K909" s="1" t="s">
        <v>6</v>
      </c>
      <c r="L909" s="1">
        <v>26</v>
      </c>
      <c r="M909" s="1">
        <v>31</v>
      </c>
      <c r="N909" s="1" t="s">
        <v>6</v>
      </c>
      <c r="O909" s="1" t="s">
        <v>1605</v>
      </c>
      <c r="P909" s="3" t="str">
        <f>HYPERLINK("http://dx.doi.org/10.11144/Javeriana.m15.seem","http://dx.doi.org/10.11144/Javeriana.m15.seem")</f>
        <v>http://dx.doi.org/10.11144/Javeriana.m15.seem</v>
      </c>
    </row>
    <row r="910" spans="1:16" ht="15.75" customHeight="1">
      <c r="A910" s="1" t="s">
        <v>0</v>
      </c>
      <c r="B910" s="1" t="s">
        <v>779</v>
      </c>
      <c r="C910" s="1" t="s">
        <v>780</v>
      </c>
      <c r="D910" s="1" t="s">
        <v>781</v>
      </c>
      <c r="E910" s="1" t="s">
        <v>782</v>
      </c>
      <c r="F910" s="1" t="s">
        <v>783</v>
      </c>
      <c r="G910" s="1">
        <v>49</v>
      </c>
      <c r="H910" s="1">
        <v>1</v>
      </c>
      <c r="I910" s="1">
        <v>2022</v>
      </c>
      <c r="J910" s="1" t="s">
        <v>6</v>
      </c>
      <c r="K910" s="1">
        <v>29</v>
      </c>
      <c r="L910" s="1">
        <v>88</v>
      </c>
      <c r="M910" s="1">
        <v>106</v>
      </c>
      <c r="N910" s="1" t="s">
        <v>6</v>
      </c>
      <c r="O910" s="1" t="s">
        <v>6</v>
      </c>
      <c r="P910" s="1" t="s">
        <v>6</v>
      </c>
    </row>
    <row r="911" spans="1:16" ht="15.75" customHeight="1">
      <c r="A911" s="1" t="s">
        <v>0</v>
      </c>
      <c r="B911" s="1" t="s">
        <v>5612</v>
      </c>
      <c r="C911" s="1" t="s">
        <v>5613</v>
      </c>
      <c r="D911" s="1" t="s">
        <v>1933</v>
      </c>
      <c r="E911" s="1" t="s">
        <v>5614</v>
      </c>
      <c r="F911" s="1" t="s">
        <v>5615</v>
      </c>
      <c r="G911" s="1">
        <v>49</v>
      </c>
      <c r="H911" s="1">
        <v>1</v>
      </c>
      <c r="I911" s="1">
        <v>2022</v>
      </c>
      <c r="J911" s="1">
        <v>48</v>
      </c>
      <c r="K911" s="1">
        <v>143</v>
      </c>
      <c r="L911" s="1" t="s">
        <v>6</v>
      </c>
      <c r="M911" s="1" t="s">
        <v>6</v>
      </c>
      <c r="N911" s="1" t="s">
        <v>6</v>
      </c>
      <c r="O911" s="1" t="s">
        <v>5616</v>
      </c>
      <c r="P911" s="3" t="str">
        <f>HYPERLINK("http://dx.doi.org/10.7764/eure.48.143.03","http://dx.doi.org/10.7764/eure.48.143.03")</f>
        <v>http://dx.doi.org/10.7764/eure.48.143.03</v>
      </c>
    </row>
    <row r="912" spans="1:16" ht="15.75" customHeight="1">
      <c r="A912" s="1" t="s">
        <v>0</v>
      </c>
      <c r="B912" s="1" t="s">
        <v>6254</v>
      </c>
      <c r="C912" s="1" t="s">
        <v>6255</v>
      </c>
      <c r="D912" s="1" t="s">
        <v>58</v>
      </c>
      <c r="E912" s="1" t="s">
        <v>6256</v>
      </c>
      <c r="F912" s="1" t="s">
        <v>6257</v>
      </c>
      <c r="G912" s="1">
        <v>74</v>
      </c>
      <c r="H912" s="1">
        <v>1</v>
      </c>
      <c r="I912" s="1">
        <v>2022</v>
      </c>
      <c r="J912" s="1">
        <v>22</v>
      </c>
      <c r="K912" s="1">
        <v>2</v>
      </c>
      <c r="L912" s="1">
        <v>107</v>
      </c>
      <c r="M912" s="1">
        <v>129</v>
      </c>
      <c r="N912" s="1" t="s">
        <v>6</v>
      </c>
      <c r="O912" s="1" t="s">
        <v>6</v>
      </c>
      <c r="P912" s="1" t="s">
        <v>6</v>
      </c>
    </row>
    <row r="913" spans="1:16" ht="15.75" customHeight="1">
      <c r="A913" s="1" t="s">
        <v>0</v>
      </c>
      <c r="B913" s="1" t="s">
        <v>2523</v>
      </c>
      <c r="C913" s="2" t="s">
        <v>2524</v>
      </c>
      <c r="D913" s="1" t="s">
        <v>58</v>
      </c>
      <c r="E913" s="1" t="s">
        <v>2525</v>
      </c>
      <c r="F913" s="1" t="s">
        <v>2526</v>
      </c>
      <c r="G913" s="1">
        <v>74</v>
      </c>
      <c r="H913" s="1">
        <v>1</v>
      </c>
      <c r="I913" s="1">
        <v>2022</v>
      </c>
      <c r="J913" s="1">
        <v>22</v>
      </c>
      <c r="K913" s="1">
        <v>2</v>
      </c>
      <c r="L913" s="1">
        <v>130</v>
      </c>
      <c r="M913" s="1">
        <v>152</v>
      </c>
      <c r="N913" s="1" t="s">
        <v>6</v>
      </c>
      <c r="O913" s="1" t="s">
        <v>6</v>
      </c>
      <c r="P913" s="1" t="s">
        <v>6</v>
      </c>
    </row>
    <row r="914" spans="1:16" ht="15.75" customHeight="1">
      <c r="A914" s="1" t="s">
        <v>0</v>
      </c>
      <c r="B914" s="1" t="s">
        <v>4259</v>
      </c>
      <c r="C914" s="1" t="s">
        <v>4260</v>
      </c>
      <c r="D914" s="2" t="s">
        <v>418</v>
      </c>
      <c r="E914" s="1" t="s">
        <v>7102</v>
      </c>
      <c r="F914" s="1" t="s">
        <v>4261</v>
      </c>
      <c r="G914" s="1">
        <v>34</v>
      </c>
      <c r="H914" s="1">
        <v>0</v>
      </c>
      <c r="I914" s="1">
        <v>2022</v>
      </c>
      <c r="J914" s="1">
        <v>13</v>
      </c>
      <c r="O914" s="1" t="s">
        <v>4262</v>
      </c>
    </row>
    <row r="915" spans="1:16" ht="15.75" customHeight="1">
      <c r="A915" s="1" t="s">
        <v>0</v>
      </c>
      <c r="B915" s="1" t="s">
        <v>5158</v>
      </c>
      <c r="C915" s="1" t="s">
        <v>5159</v>
      </c>
      <c r="D915" s="2" t="s">
        <v>418</v>
      </c>
      <c r="E915" s="1" t="s">
        <v>7105</v>
      </c>
      <c r="F915" s="1" t="s">
        <v>5160</v>
      </c>
      <c r="G915" s="1">
        <v>72</v>
      </c>
      <c r="H915" s="1">
        <v>0</v>
      </c>
      <c r="I915" s="1">
        <v>2022</v>
      </c>
      <c r="J915" s="1">
        <v>13</v>
      </c>
      <c r="O915" s="1" t="s">
        <v>5161</v>
      </c>
    </row>
    <row r="916" spans="1:16" ht="15.75" customHeight="1">
      <c r="A916" s="1" t="s">
        <v>10</v>
      </c>
      <c r="B916" s="1" t="s">
        <v>1414</v>
      </c>
      <c r="C916" s="1" t="s">
        <v>1415</v>
      </c>
      <c r="D916" s="1" t="s">
        <v>1416</v>
      </c>
      <c r="E916" s="1" t="s">
        <v>1417</v>
      </c>
      <c r="F916" s="1" t="s">
        <v>1418</v>
      </c>
      <c r="H916" s="1">
        <v>0</v>
      </c>
      <c r="I916" s="1">
        <v>2022</v>
      </c>
      <c r="J916" s="1">
        <v>2022</v>
      </c>
      <c r="K916" s="1">
        <v>12</v>
      </c>
      <c r="O916" s="1" t="s">
        <v>1419</v>
      </c>
    </row>
    <row r="917" spans="1:16" ht="15.75" customHeight="1">
      <c r="A917" s="1" t="s">
        <v>0</v>
      </c>
      <c r="B917" s="1" t="s">
        <v>2002</v>
      </c>
      <c r="C917" s="1" t="s">
        <v>2003</v>
      </c>
      <c r="D917" s="1" t="s">
        <v>2004</v>
      </c>
      <c r="E917" s="1" t="s">
        <v>2005</v>
      </c>
      <c r="F917" s="1" t="s">
        <v>2006</v>
      </c>
      <c r="G917" s="1">
        <v>67</v>
      </c>
      <c r="H917" s="1">
        <v>0</v>
      </c>
      <c r="I917" s="1">
        <v>2022</v>
      </c>
      <c r="J917" s="1">
        <v>46</v>
      </c>
      <c r="K917" s="1">
        <v>2</v>
      </c>
      <c r="L917" s="1">
        <v>265</v>
      </c>
      <c r="M917" s="1">
        <v>282</v>
      </c>
      <c r="N917" s="1" t="s">
        <v>2007</v>
      </c>
      <c r="O917" s="1" t="s">
        <v>2008</v>
      </c>
      <c r="P917" s="3" t="str">
        <f>HYPERLINK("http://dx.doi.org/10.1017/S0165115322000109","http://dx.doi.org/10.1017/S0165115322000109")</f>
        <v>http://dx.doi.org/10.1017/S0165115322000109</v>
      </c>
    </row>
    <row r="918" spans="1:16" ht="15.75" customHeight="1">
      <c r="A918" s="1" t="s">
        <v>0</v>
      </c>
      <c r="B918" s="1" t="s">
        <v>1488</v>
      </c>
      <c r="C918" s="1" t="s">
        <v>1489</v>
      </c>
      <c r="D918" s="1" t="s">
        <v>148</v>
      </c>
      <c r="E918" s="1" t="s">
        <v>1490</v>
      </c>
      <c r="F918" s="1" t="s">
        <v>1491</v>
      </c>
      <c r="G918" s="1">
        <v>162</v>
      </c>
      <c r="H918" s="1">
        <v>0</v>
      </c>
      <c r="I918" s="1">
        <v>2022</v>
      </c>
      <c r="J918" s="1">
        <v>30</v>
      </c>
      <c r="K918" s="1" t="s">
        <v>6</v>
      </c>
      <c r="L918" s="1" t="s">
        <v>6</v>
      </c>
      <c r="M918" s="1" t="s">
        <v>6</v>
      </c>
      <c r="N918" s="1" t="s">
        <v>6</v>
      </c>
      <c r="O918" s="1" t="s">
        <v>1492</v>
      </c>
      <c r="P918" s="3" t="str">
        <f>HYPERLINK("http://dx.doi.org/10.14507/epaa.30.6337","http://dx.doi.org/10.14507/epaa.30.6337")</f>
        <v>http://dx.doi.org/10.14507/epaa.30.6337</v>
      </c>
    </row>
    <row r="919" spans="1:16" ht="15.75" customHeight="1">
      <c r="A919" s="1" t="s">
        <v>31</v>
      </c>
      <c r="B919" s="1" t="s">
        <v>6830</v>
      </c>
      <c r="C919" s="1" t="s">
        <v>6831</v>
      </c>
      <c r="D919" s="1" t="s">
        <v>6832</v>
      </c>
      <c r="E919" s="1" t="s">
        <v>6833</v>
      </c>
      <c r="F919" s="1" t="s">
        <v>6834</v>
      </c>
      <c r="H919" s="1">
        <v>0</v>
      </c>
      <c r="I919" s="1">
        <v>2022</v>
      </c>
      <c r="O919" s="1" t="s">
        <v>6835</v>
      </c>
    </row>
    <row r="920" spans="1:16" ht="15.75" customHeight="1">
      <c r="A920" s="1" t="s">
        <v>0</v>
      </c>
      <c r="B920" s="1" t="s">
        <v>4461</v>
      </c>
      <c r="C920" s="1" t="s">
        <v>4462</v>
      </c>
      <c r="D920" s="1" t="s">
        <v>1428</v>
      </c>
      <c r="E920" s="1" t="s">
        <v>4463</v>
      </c>
      <c r="F920" s="1" t="s">
        <v>4464</v>
      </c>
      <c r="G920" s="1">
        <v>62</v>
      </c>
      <c r="H920" s="1">
        <v>0</v>
      </c>
      <c r="I920" s="1">
        <v>2022</v>
      </c>
      <c r="J920" s="1" t="s">
        <v>6</v>
      </c>
      <c r="K920" s="1">
        <v>89</v>
      </c>
      <c r="L920" s="1">
        <v>205</v>
      </c>
      <c r="M920" s="1">
        <v>228</v>
      </c>
      <c r="N920" s="1" t="s">
        <v>6</v>
      </c>
      <c r="O920" s="1" t="s">
        <v>4465</v>
      </c>
      <c r="P920" s="3" t="str">
        <f>HYPERLINK("http://dx.doi.org/10.18800/derechopucp.202202.007","http://dx.doi.org/10.18800/derechopucp.202202.007")</f>
        <v>http://dx.doi.org/10.18800/derechopucp.202202.007</v>
      </c>
    </row>
    <row r="921" spans="1:16" ht="15.75" customHeight="1">
      <c r="A921" s="1" t="s">
        <v>10</v>
      </c>
      <c r="B921" s="1" t="s">
        <v>5362</v>
      </c>
      <c r="C921" s="1" t="s">
        <v>5363</v>
      </c>
      <c r="D921" s="1" t="s">
        <v>550</v>
      </c>
      <c r="E921" s="1" t="s">
        <v>5364</v>
      </c>
      <c r="F921" s="1" t="s">
        <v>5365</v>
      </c>
      <c r="H921" s="1">
        <v>0</v>
      </c>
      <c r="I921" s="1">
        <v>2022</v>
      </c>
      <c r="J921" s="1">
        <v>15</v>
      </c>
      <c r="O921" s="1" t="s">
        <v>5366</v>
      </c>
    </row>
    <row r="922" spans="1:16" ht="15.75" customHeight="1">
      <c r="A922" s="1" t="s">
        <v>0</v>
      </c>
      <c r="B922" s="1" t="s">
        <v>5352</v>
      </c>
      <c r="C922" s="1" t="s">
        <v>5353</v>
      </c>
      <c r="D922" s="1" t="s">
        <v>58</v>
      </c>
      <c r="E922" s="1" t="s">
        <v>5354</v>
      </c>
      <c r="F922" s="1" t="s">
        <v>5355</v>
      </c>
      <c r="G922" s="1">
        <v>17</v>
      </c>
      <c r="H922" s="1">
        <v>0</v>
      </c>
      <c r="I922" s="1">
        <v>2022</v>
      </c>
      <c r="J922" s="1">
        <v>22</v>
      </c>
      <c r="K922" s="1">
        <v>1</v>
      </c>
      <c r="L922" s="1">
        <v>193</v>
      </c>
      <c r="M922" s="1">
        <v>205</v>
      </c>
      <c r="N922" s="1" t="s">
        <v>6</v>
      </c>
      <c r="O922" s="1" t="s">
        <v>6</v>
      </c>
      <c r="P922" s="1" t="s">
        <v>6</v>
      </c>
    </row>
    <row r="923" spans="1:16" ht="15.75" customHeight="1">
      <c r="A923" s="1" t="s">
        <v>0</v>
      </c>
      <c r="B923" s="1" t="s">
        <v>346</v>
      </c>
      <c r="C923" s="1" t="s">
        <v>347</v>
      </c>
      <c r="D923" s="1" t="s">
        <v>348</v>
      </c>
      <c r="E923" s="1" t="s">
        <v>349</v>
      </c>
      <c r="F923" s="1" t="s">
        <v>350</v>
      </c>
      <c r="G923" s="1">
        <v>11</v>
      </c>
      <c r="H923" s="1">
        <v>0</v>
      </c>
      <c r="I923" s="1">
        <v>2022</v>
      </c>
      <c r="J923" s="1">
        <v>20</v>
      </c>
      <c r="K923" s="1" t="s">
        <v>6</v>
      </c>
      <c r="L923" s="1">
        <v>40</v>
      </c>
      <c r="M923" s="1">
        <v>51</v>
      </c>
      <c r="N923" s="1" t="s">
        <v>6</v>
      </c>
      <c r="O923" s="1" t="s">
        <v>6</v>
      </c>
      <c r="P923" s="1" t="s">
        <v>6</v>
      </c>
    </row>
    <row r="924" spans="1:16" ht="15.75" customHeight="1">
      <c r="A924" s="1" t="s">
        <v>0</v>
      </c>
      <c r="B924" s="1" t="s">
        <v>3981</v>
      </c>
      <c r="C924" s="1" t="s">
        <v>3982</v>
      </c>
      <c r="D924" s="1" t="s">
        <v>3983</v>
      </c>
      <c r="E924" s="1" t="s">
        <v>3984</v>
      </c>
      <c r="F924" s="1" t="s">
        <v>3985</v>
      </c>
      <c r="G924" s="1">
        <v>33</v>
      </c>
      <c r="H924" s="1">
        <v>0</v>
      </c>
      <c r="I924" s="1">
        <v>2022</v>
      </c>
      <c r="J924" s="1">
        <v>42</v>
      </c>
      <c r="K924" s="1">
        <v>2</v>
      </c>
      <c r="L924" s="1">
        <v>363</v>
      </c>
      <c r="M924" s="1">
        <v>389</v>
      </c>
      <c r="N924" s="1" t="s">
        <v>6</v>
      </c>
      <c r="O924" s="1" t="s">
        <v>3986</v>
      </c>
      <c r="P924" s="3" t="str">
        <f>HYPERLINK("http://dx.doi.org/10.5209/aguc.85175","http://dx.doi.org/10.5209/aguc.85175")</f>
        <v>http://dx.doi.org/10.5209/aguc.85175</v>
      </c>
    </row>
    <row r="925" spans="1:16" ht="15.75" customHeight="1">
      <c r="A925" s="1" t="s">
        <v>10</v>
      </c>
      <c r="B925" s="1" t="s">
        <v>4749</v>
      </c>
      <c r="C925" s="1" t="s">
        <v>4750</v>
      </c>
      <c r="D925" s="1" t="s">
        <v>650</v>
      </c>
      <c r="E925" s="1" t="s">
        <v>4751</v>
      </c>
      <c r="F925" s="1" t="s">
        <v>4752</v>
      </c>
      <c r="H925" s="1">
        <v>0</v>
      </c>
      <c r="I925" s="1">
        <v>2022</v>
      </c>
      <c r="J925" s="1">
        <v>2022</v>
      </c>
      <c r="K925" s="1">
        <v>42</v>
      </c>
      <c r="O925" s="1" t="s">
        <v>4753</v>
      </c>
    </row>
    <row r="926" spans="1:16" ht="15.75" customHeight="1">
      <c r="A926" s="1" t="s">
        <v>463</v>
      </c>
      <c r="B926" s="1" t="s">
        <v>2422</v>
      </c>
      <c r="C926" s="1" t="s">
        <v>2423</v>
      </c>
      <c r="D926" s="1" t="s">
        <v>466</v>
      </c>
      <c r="E926" s="1" t="s">
        <v>2424</v>
      </c>
      <c r="F926" s="1" t="s">
        <v>2425</v>
      </c>
      <c r="H926" s="1">
        <v>0</v>
      </c>
      <c r="I926" s="1">
        <v>2022</v>
      </c>
      <c r="J926" s="1" t="s">
        <v>2426</v>
      </c>
      <c r="O926" s="1" t="s">
        <v>2427</v>
      </c>
    </row>
    <row r="927" spans="1:16" ht="15.75" customHeight="1">
      <c r="A927" s="1" t="s">
        <v>10</v>
      </c>
      <c r="B927" s="1" t="s">
        <v>6836</v>
      </c>
      <c r="C927" s="1" t="s">
        <v>6837</v>
      </c>
      <c r="D927" s="1" t="s">
        <v>5814</v>
      </c>
      <c r="E927" s="1" t="s">
        <v>6838</v>
      </c>
      <c r="F927" s="1" t="s">
        <v>6839</v>
      </c>
      <c r="H927" s="1">
        <v>0</v>
      </c>
      <c r="I927" s="1">
        <v>2022</v>
      </c>
      <c r="O927" s="1" t="s">
        <v>6840</v>
      </c>
    </row>
    <row r="928" spans="1:16" ht="15.75" customHeight="1">
      <c r="A928" s="1" t="s">
        <v>10</v>
      </c>
      <c r="B928" s="1" t="s">
        <v>5233</v>
      </c>
      <c r="C928" s="1" t="s">
        <v>5234</v>
      </c>
      <c r="D928" s="1" t="s">
        <v>5235</v>
      </c>
      <c r="E928" s="1" t="s">
        <v>5236</v>
      </c>
      <c r="F928" s="1" t="s">
        <v>5237</v>
      </c>
      <c r="H928" s="1">
        <v>0</v>
      </c>
      <c r="I928" s="1">
        <v>2022</v>
      </c>
      <c r="J928" s="1">
        <v>64</v>
      </c>
      <c r="K928" s="1">
        <v>4</v>
      </c>
      <c r="O928" s="1" t="s">
        <v>5238</v>
      </c>
    </row>
    <row r="929" spans="1:16" ht="15.75" customHeight="1">
      <c r="A929" s="1" t="s">
        <v>0</v>
      </c>
      <c r="B929" s="1" t="s">
        <v>6249</v>
      </c>
      <c r="C929" s="2" t="s">
        <v>6250</v>
      </c>
      <c r="D929" s="1" t="s">
        <v>154</v>
      </c>
      <c r="E929" s="1" t="s">
        <v>6251</v>
      </c>
      <c r="F929" s="1" t="s">
        <v>6252</v>
      </c>
      <c r="G929" s="1">
        <v>70</v>
      </c>
      <c r="H929" s="1">
        <v>0</v>
      </c>
      <c r="I929" s="1">
        <v>2022</v>
      </c>
      <c r="J929" s="1">
        <v>37</v>
      </c>
      <c r="K929" s="1">
        <v>1</v>
      </c>
      <c r="L929" s="1">
        <v>135</v>
      </c>
      <c r="M929" s="1">
        <v>158</v>
      </c>
      <c r="N929" s="1" t="s">
        <v>6</v>
      </c>
      <c r="O929" s="1" t="s">
        <v>6253</v>
      </c>
      <c r="P929" s="3" t="str">
        <f>HYPERLINK("http://dx.doi.org/10.4067/S0718-23762022000100135","http://dx.doi.org/10.4067/S0718-23762022000100135")</f>
        <v>http://dx.doi.org/10.4067/S0718-23762022000100135</v>
      </c>
    </row>
    <row r="930" spans="1:16" ht="15.75" customHeight="1">
      <c r="A930" s="1" t="s">
        <v>0</v>
      </c>
      <c r="B930" s="1" t="s">
        <v>3829</v>
      </c>
      <c r="C930" s="1" t="s">
        <v>3833</v>
      </c>
      <c r="D930" s="1" t="s">
        <v>578</v>
      </c>
      <c r="E930" s="1" t="s">
        <v>3834</v>
      </c>
      <c r="F930" s="1" t="s">
        <v>3835</v>
      </c>
      <c r="G930" s="1">
        <v>54</v>
      </c>
      <c r="H930" s="1">
        <v>0</v>
      </c>
      <c r="I930" s="1">
        <v>2022</v>
      </c>
      <c r="J930" s="1">
        <v>17</v>
      </c>
      <c r="K930" s="1" t="s">
        <v>1093</v>
      </c>
      <c r="O930" s="1" t="s">
        <v>3836</v>
      </c>
    </row>
    <row r="931" spans="1:16" ht="15.75" customHeight="1">
      <c r="A931" s="1" t="s">
        <v>10</v>
      </c>
      <c r="B931" s="1" t="s">
        <v>1241</v>
      </c>
      <c r="C931" s="1" t="s">
        <v>1242</v>
      </c>
      <c r="D931" s="1" t="s">
        <v>1243</v>
      </c>
      <c r="E931" s="1" t="s">
        <v>1244</v>
      </c>
      <c r="F931" s="1" t="s">
        <v>1245</v>
      </c>
      <c r="H931" s="1">
        <v>0</v>
      </c>
      <c r="I931" s="1">
        <v>2022</v>
      </c>
      <c r="J931" s="1">
        <v>162</v>
      </c>
      <c r="K931" s="1">
        <v>2</v>
      </c>
      <c r="O931" s="1" t="s">
        <v>1246</v>
      </c>
    </row>
    <row r="932" spans="1:16" ht="15.75" customHeight="1">
      <c r="A932" s="1" t="s">
        <v>0</v>
      </c>
      <c r="B932" s="1" t="s">
        <v>1222</v>
      </c>
      <c r="C932" s="1" t="s">
        <v>1223</v>
      </c>
      <c r="D932" s="1" t="s">
        <v>1224</v>
      </c>
      <c r="E932" s="1" t="s">
        <v>1225</v>
      </c>
      <c r="F932" s="1" t="s">
        <v>1226</v>
      </c>
      <c r="G932" s="1">
        <v>73</v>
      </c>
      <c r="H932" s="1">
        <v>0</v>
      </c>
      <c r="I932" s="1">
        <v>2022</v>
      </c>
      <c r="J932" s="1">
        <v>95</v>
      </c>
      <c r="K932" s="1" t="s">
        <v>61</v>
      </c>
      <c r="O932" s="1" t="s">
        <v>1227</v>
      </c>
    </row>
    <row r="933" spans="1:16" ht="15.75" customHeight="1">
      <c r="A933" s="1" t="s">
        <v>10</v>
      </c>
      <c r="B933" s="1" t="s">
        <v>5896</v>
      </c>
      <c r="C933" s="1" t="s">
        <v>5897</v>
      </c>
      <c r="D933" s="1" t="s">
        <v>5898</v>
      </c>
      <c r="E933" s="1" t="s">
        <v>5899</v>
      </c>
      <c r="F933" s="1" t="s">
        <v>5900</v>
      </c>
      <c r="H933" s="1">
        <v>0</v>
      </c>
      <c r="I933" s="1">
        <v>2022</v>
      </c>
      <c r="J933" s="1">
        <v>4</v>
      </c>
      <c r="K933" s="1">
        <v>3</v>
      </c>
      <c r="O933" s="1" t="s">
        <v>5901</v>
      </c>
    </row>
    <row r="934" spans="1:16" ht="15.75" customHeight="1">
      <c r="A934" s="1" t="s">
        <v>10</v>
      </c>
      <c r="B934" s="1" t="s">
        <v>1802</v>
      </c>
      <c r="C934" s="1" t="s">
        <v>1803</v>
      </c>
      <c r="D934" s="1" t="s">
        <v>94</v>
      </c>
      <c r="E934" s="1" t="s">
        <v>1804</v>
      </c>
      <c r="F934" s="1" t="s">
        <v>1805</v>
      </c>
      <c r="H934" s="1">
        <v>0</v>
      </c>
      <c r="I934" s="1">
        <v>2022</v>
      </c>
      <c r="J934" s="1">
        <v>20</v>
      </c>
      <c r="K934" s="1">
        <v>3</v>
      </c>
      <c r="O934" s="1" t="s">
        <v>1806</v>
      </c>
    </row>
    <row r="935" spans="1:16" ht="15.75" customHeight="1">
      <c r="A935" s="1" t="s">
        <v>10</v>
      </c>
      <c r="B935" s="1" t="s">
        <v>1700</v>
      </c>
      <c r="C935" s="1" t="s">
        <v>1701</v>
      </c>
      <c r="D935" s="1" t="s">
        <v>1702</v>
      </c>
      <c r="E935" s="1" t="s">
        <v>1703</v>
      </c>
      <c r="F935" s="1" t="s">
        <v>1704</v>
      </c>
      <c r="H935" s="1">
        <v>0</v>
      </c>
      <c r="I935" s="1">
        <v>2022</v>
      </c>
      <c r="J935" s="1">
        <v>21</v>
      </c>
      <c r="K935" s="1">
        <v>1</v>
      </c>
      <c r="O935" s="1" t="s">
        <v>1705</v>
      </c>
    </row>
    <row r="936" spans="1:16" ht="15.75" customHeight="1">
      <c r="A936" s="1" t="s">
        <v>10</v>
      </c>
      <c r="B936" s="1" t="s">
        <v>340</v>
      </c>
      <c r="C936" s="1" t="s">
        <v>341</v>
      </c>
      <c r="D936" s="1" t="s">
        <v>342</v>
      </c>
      <c r="E936" s="1" t="s">
        <v>343</v>
      </c>
      <c r="F936" s="1" t="s">
        <v>344</v>
      </c>
      <c r="H936" s="1">
        <v>0</v>
      </c>
      <c r="I936" s="1">
        <v>2022</v>
      </c>
      <c r="J936" s="1">
        <v>46</v>
      </c>
      <c r="K936" s="1">
        <v>1</v>
      </c>
      <c r="O936" s="1" t="s">
        <v>345</v>
      </c>
    </row>
    <row r="937" spans="1:16" ht="15.75" customHeight="1">
      <c r="A937" s="1" t="s">
        <v>10</v>
      </c>
      <c r="B937" s="1" t="s">
        <v>6052</v>
      </c>
      <c r="C937" s="1" t="s">
        <v>6053</v>
      </c>
      <c r="D937" s="1" t="s">
        <v>1434</v>
      </c>
      <c r="E937" s="1" t="s">
        <v>6054</v>
      </c>
      <c r="F937" s="1" t="s">
        <v>6055</v>
      </c>
      <c r="H937" s="1">
        <v>0</v>
      </c>
      <c r="I937" s="1">
        <v>2022</v>
      </c>
      <c r="J937" s="1">
        <v>19</v>
      </c>
      <c r="K937" s="1">
        <v>1</v>
      </c>
      <c r="O937" s="1" t="s">
        <v>6056</v>
      </c>
    </row>
    <row r="938" spans="1:16" ht="15.75" customHeight="1">
      <c r="A938" s="1" t="s">
        <v>10</v>
      </c>
      <c r="B938" s="1" t="s">
        <v>4291</v>
      </c>
      <c r="C938" s="1" t="s">
        <v>4292</v>
      </c>
      <c r="D938" s="1" t="s">
        <v>4293</v>
      </c>
      <c r="E938" s="1" t="s">
        <v>4294</v>
      </c>
      <c r="F938" s="1" t="s">
        <v>4295</v>
      </c>
      <c r="H938" s="1">
        <v>0</v>
      </c>
      <c r="I938" s="1">
        <v>2022</v>
      </c>
      <c r="J938" s="1">
        <v>15</v>
      </c>
      <c r="K938" s="1">
        <v>1</v>
      </c>
      <c r="O938" s="1" t="s">
        <v>4296</v>
      </c>
    </row>
    <row r="939" spans="1:16" ht="15.75" customHeight="1">
      <c r="A939" s="1" t="s">
        <v>0</v>
      </c>
      <c r="B939" s="1" t="s">
        <v>2090</v>
      </c>
      <c r="C939" s="1" t="s">
        <v>2091</v>
      </c>
      <c r="D939" s="1" t="s">
        <v>2092</v>
      </c>
      <c r="E939" s="1" t="s">
        <v>2093</v>
      </c>
      <c r="F939" s="1" t="s">
        <v>2094</v>
      </c>
      <c r="G939" s="1">
        <v>51</v>
      </c>
      <c r="H939" s="1">
        <v>0</v>
      </c>
      <c r="I939" s="1">
        <v>2022</v>
      </c>
      <c r="J939" s="1">
        <v>25</v>
      </c>
      <c r="K939" s="1">
        <v>2</v>
      </c>
      <c r="L939" s="1">
        <v>572</v>
      </c>
      <c r="M939" s="1">
        <v>588</v>
      </c>
      <c r="N939" s="1">
        <v>1.3675494211013812E+16</v>
      </c>
      <c r="O939" s="1" t="s">
        <v>2095</v>
      </c>
      <c r="P939" s="3" t="str">
        <f>HYPERLINK("http://dx.doi.org/10.1177/13675494211013813","http://dx.doi.org/10.1177/13675494211013813")</f>
        <v>http://dx.doi.org/10.1177/13675494211013813</v>
      </c>
    </row>
    <row r="940" spans="1:16" ht="15.75" customHeight="1">
      <c r="A940" s="1" t="s">
        <v>10</v>
      </c>
      <c r="B940" s="1" t="s">
        <v>1615</v>
      </c>
      <c r="C940" s="1" t="s">
        <v>1616</v>
      </c>
      <c r="D940" s="1" t="s">
        <v>1522</v>
      </c>
      <c r="E940" s="1" t="s">
        <v>1617</v>
      </c>
      <c r="F940" s="1" t="s">
        <v>1618</v>
      </c>
      <c r="H940" s="1">
        <v>0</v>
      </c>
      <c r="I940" s="1">
        <v>2022</v>
      </c>
      <c r="K940" s="1">
        <v>68</v>
      </c>
      <c r="O940" s="1" t="s">
        <v>1619</v>
      </c>
    </row>
    <row r="941" spans="1:16" ht="15.75" customHeight="1">
      <c r="A941" s="1" t="s">
        <v>10</v>
      </c>
      <c r="B941" s="1" t="s">
        <v>4394</v>
      </c>
      <c r="C941" s="1" t="s">
        <v>4395</v>
      </c>
      <c r="D941" s="1" t="s">
        <v>4396</v>
      </c>
      <c r="E941" s="1" t="s">
        <v>4397</v>
      </c>
      <c r="F941" s="1" t="s">
        <v>4398</v>
      </c>
      <c r="H941" s="1">
        <v>0</v>
      </c>
      <c r="I941" s="1">
        <v>2022</v>
      </c>
      <c r="K941" s="1">
        <v>526</v>
      </c>
      <c r="O941" s="1" t="s">
        <v>4399</v>
      </c>
    </row>
    <row r="942" spans="1:16" ht="15.75" customHeight="1">
      <c r="A942" s="1" t="s">
        <v>10</v>
      </c>
      <c r="B942" s="1" t="s">
        <v>648</v>
      </c>
      <c r="C942" s="1" t="s">
        <v>649</v>
      </c>
      <c r="D942" s="1" t="s">
        <v>650</v>
      </c>
      <c r="E942" s="1" t="s">
        <v>651</v>
      </c>
      <c r="F942" s="1" t="s">
        <v>652</v>
      </c>
      <c r="H942" s="1">
        <v>0</v>
      </c>
      <c r="I942" s="1">
        <v>2022</v>
      </c>
      <c r="J942" s="1">
        <v>2022</v>
      </c>
      <c r="K942" s="1">
        <v>43</v>
      </c>
      <c r="O942" s="1" t="s">
        <v>653</v>
      </c>
    </row>
    <row r="943" spans="1:16" ht="15.75" customHeight="1">
      <c r="A943" s="1" t="s">
        <v>0</v>
      </c>
      <c r="B943" s="1" t="s">
        <v>2251</v>
      </c>
      <c r="C943" s="1" t="s">
        <v>2252</v>
      </c>
      <c r="D943" s="1" t="s">
        <v>836</v>
      </c>
      <c r="E943" s="1" t="s">
        <v>2253</v>
      </c>
      <c r="F943" s="1" t="s">
        <v>2254</v>
      </c>
      <c r="G943" s="1">
        <v>55</v>
      </c>
      <c r="H943" s="1">
        <v>0</v>
      </c>
      <c r="I943" s="1">
        <v>2022</v>
      </c>
      <c r="J943" s="1">
        <v>14</v>
      </c>
      <c r="K943" s="1">
        <v>2</v>
      </c>
      <c r="L943" s="1">
        <v>272</v>
      </c>
      <c r="M943" s="1">
        <v>293</v>
      </c>
      <c r="N943" s="1" t="s">
        <v>6</v>
      </c>
      <c r="O943" s="1" t="s">
        <v>2255</v>
      </c>
      <c r="P943" s="3" t="str">
        <f>HYPERLINK("http://dx.doi.org/10.6092/issn.2036-0967/15322","http://dx.doi.org/10.6092/issn.2036-0967/15322")</f>
        <v>http://dx.doi.org/10.6092/issn.2036-0967/15322</v>
      </c>
    </row>
    <row r="944" spans="1:16" ht="15.75" customHeight="1">
      <c r="A944" s="1" t="s">
        <v>0</v>
      </c>
      <c r="B944" s="1" t="s">
        <v>4414</v>
      </c>
      <c r="C944" s="1" t="s">
        <v>4415</v>
      </c>
      <c r="D944" s="1" t="s">
        <v>578</v>
      </c>
      <c r="E944" s="1" t="s">
        <v>4416</v>
      </c>
      <c r="F944" s="1" t="s">
        <v>4417</v>
      </c>
      <c r="G944" s="1">
        <v>43</v>
      </c>
      <c r="H944" s="1">
        <v>0</v>
      </c>
      <c r="I944" s="1">
        <v>2022</v>
      </c>
      <c r="J944" s="1">
        <v>17</v>
      </c>
      <c r="K944" s="1" t="s">
        <v>581</v>
      </c>
      <c r="O944" s="1" t="s">
        <v>4418</v>
      </c>
    </row>
    <row r="945" spans="1:16" ht="15.75" customHeight="1">
      <c r="A945" s="1" t="s">
        <v>0</v>
      </c>
      <c r="B945" s="1" t="s">
        <v>4206</v>
      </c>
      <c r="C945" s="1" t="s">
        <v>4207</v>
      </c>
      <c r="D945" s="1" t="s">
        <v>4208</v>
      </c>
      <c r="E945" s="1" t="s">
        <v>4209</v>
      </c>
      <c r="F945" s="1" t="s">
        <v>4210</v>
      </c>
      <c r="G945" s="1">
        <v>45</v>
      </c>
      <c r="H945" s="1">
        <v>0</v>
      </c>
      <c r="I945" s="1">
        <v>2022</v>
      </c>
      <c r="J945" s="1">
        <v>21</v>
      </c>
      <c r="K945" s="1" t="s">
        <v>4211</v>
      </c>
      <c r="O945" s="1" t="s">
        <v>4212</v>
      </c>
    </row>
    <row r="946" spans="1:16" ht="15.75" customHeight="1">
      <c r="A946" s="1" t="s">
        <v>10</v>
      </c>
      <c r="B946" s="1" t="s">
        <v>851</v>
      </c>
      <c r="C946" s="1" t="s">
        <v>857</v>
      </c>
      <c r="D946" s="1" t="s">
        <v>858</v>
      </c>
      <c r="E946" s="1" t="s">
        <v>859</v>
      </c>
      <c r="F946" s="1" t="s">
        <v>860</v>
      </c>
      <c r="H946" s="1">
        <v>0</v>
      </c>
      <c r="I946" s="1">
        <v>2022</v>
      </c>
      <c r="J946" s="1">
        <v>41</v>
      </c>
      <c r="K946" s="1">
        <v>1</v>
      </c>
      <c r="O946" s="1" t="s">
        <v>861</v>
      </c>
    </row>
    <row r="947" spans="1:16" ht="15.75" customHeight="1">
      <c r="A947" s="1" t="s">
        <v>0</v>
      </c>
      <c r="B947" s="1" t="s">
        <v>4528</v>
      </c>
      <c r="C947" s="1" t="s">
        <v>4529</v>
      </c>
      <c r="D947" s="1" t="s">
        <v>4530</v>
      </c>
      <c r="E947" s="1" t="s">
        <v>4531</v>
      </c>
      <c r="F947" s="1" t="s">
        <v>4532</v>
      </c>
      <c r="G947" s="1">
        <v>31</v>
      </c>
      <c r="H947" s="1">
        <v>0</v>
      </c>
      <c r="I947" s="1">
        <v>2022</v>
      </c>
      <c r="J947" s="1">
        <v>26</v>
      </c>
      <c r="K947" s="1" t="s">
        <v>605</v>
      </c>
      <c r="O947" s="1" t="s">
        <v>4533</v>
      </c>
    </row>
    <row r="948" spans="1:16" ht="15.75" customHeight="1">
      <c r="A948" s="1" t="s">
        <v>31</v>
      </c>
      <c r="B948" s="1" t="s">
        <v>2611</v>
      </c>
      <c r="C948" s="1" t="s">
        <v>2612</v>
      </c>
      <c r="D948" s="1" t="s">
        <v>2612</v>
      </c>
      <c r="E948" s="1" t="s">
        <v>2613</v>
      </c>
      <c r="F948" s="1" t="s">
        <v>2614</v>
      </c>
      <c r="H948" s="1">
        <v>0</v>
      </c>
      <c r="I948" s="1">
        <v>2022</v>
      </c>
      <c r="O948" s="1" t="s">
        <v>2615</v>
      </c>
    </row>
    <row r="949" spans="1:16" ht="15.75" customHeight="1">
      <c r="A949" s="1" t="s">
        <v>0</v>
      </c>
      <c r="B949" s="1" t="s">
        <v>3381</v>
      </c>
      <c r="C949" s="1" t="s">
        <v>3382</v>
      </c>
      <c r="D949" s="1" t="s">
        <v>236</v>
      </c>
      <c r="E949" s="1" t="s">
        <v>3383</v>
      </c>
      <c r="F949" s="1" t="s">
        <v>3384</v>
      </c>
      <c r="G949" s="1">
        <v>31</v>
      </c>
      <c r="H949" s="1">
        <v>0</v>
      </c>
      <c r="I949" s="1">
        <v>2022</v>
      </c>
      <c r="J949" s="1">
        <v>45</v>
      </c>
      <c r="K949" s="1">
        <v>2</v>
      </c>
      <c r="L949" s="1">
        <v>327</v>
      </c>
      <c r="M949" s="1">
        <v>347</v>
      </c>
      <c r="N949" s="1" t="s">
        <v>6</v>
      </c>
      <c r="O949" s="1" t="s">
        <v>3385</v>
      </c>
      <c r="P949" s="3" t="str">
        <f>HYPERLINK("http://dx.doi.org/10.15446/rcs.v45n2/92708","http://dx.doi.org/10.15446/rcs.v45n2/92708")</f>
        <v>http://dx.doi.org/10.15446/rcs.v45n2/92708</v>
      </c>
    </row>
    <row r="950" spans="1:16" ht="15.75" customHeight="1">
      <c r="A950" s="1" t="s">
        <v>0</v>
      </c>
      <c r="B950" s="1" t="s">
        <v>1637</v>
      </c>
      <c r="C950" s="1" t="s">
        <v>1638</v>
      </c>
      <c r="D950" s="1" t="s">
        <v>1639</v>
      </c>
      <c r="E950" s="1" t="s">
        <v>1640</v>
      </c>
      <c r="F950" s="1" t="s">
        <v>1641</v>
      </c>
      <c r="G950" s="1">
        <v>32</v>
      </c>
      <c r="H950" s="1">
        <v>0</v>
      </c>
      <c r="I950" s="1">
        <v>2022</v>
      </c>
      <c r="J950" s="1">
        <v>19</v>
      </c>
      <c r="K950" s="1">
        <v>48</v>
      </c>
      <c r="L950" s="1">
        <v>161</v>
      </c>
      <c r="M950" s="1">
        <v>181</v>
      </c>
      <c r="N950" s="1" t="s">
        <v>6</v>
      </c>
      <c r="O950" s="1" t="s">
        <v>1642</v>
      </c>
      <c r="P950" s="3" t="str">
        <f>HYPERLINK("http://dx.doi.org/10.29092/uacm.v19i48.899","http://dx.doi.org/10.29092/uacm.v19i48.899")</f>
        <v>http://dx.doi.org/10.29092/uacm.v19i48.899</v>
      </c>
    </row>
    <row r="951" spans="1:16" ht="15.75" customHeight="1">
      <c r="A951" s="1" t="s">
        <v>0</v>
      </c>
      <c r="B951" s="1" t="s">
        <v>5284</v>
      </c>
      <c r="C951" s="1" t="s">
        <v>5285</v>
      </c>
      <c r="D951" s="1" t="s">
        <v>2910</v>
      </c>
      <c r="E951" s="1" t="s">
        <v>5286</v>
      </c>
      <c r="F951" s="1" t="s">
        <v>5287</v>
      </c>
      <c r="G951" s="1">
        <v>77</v>
      </c>
      <c r="H951" s="1">
        <v>0</v>
      </c>
      <c r="I951" s="1">
        <v>2022</v>
      </c>
      <c r="J951" s="1">
        <v>23</v>
      </c>
      <c r="K951" s="1" t="s">
        <v>6</v>
      </c>
      <c r="L951" s="1" t="s">
        <v>6</v>
      </c>
      <c r="M951" s="1" t="s">
        <v>6</v>
      </c>
      <c r="N951" s="1" t="s">
        <v>5288</v>
      </c>
      <c r="O951" s="1" t="s">
        <v>5289</v>
      </c>
      <c r="P951" s="3" t="str">
        <f>HYPERLINK("http://dx.doi.org/10.21670/ref.2216100","http://dx.doi.org/10.21670/ref.2216100")</f>
        <v>http://dx.doi.org/10.21670/ref.2216100</v>
      </c>
    </row>
    <row r="952" spans="1:16" ht="15.75" customHeight="1">
      <c r="A952" s="1" t="s">
        <v>0</v>
      </c>
      <c r="B952" s="1" t="s">
        <v>2304</v>
      </c>
      <c r="C952" s="1" t="s">
        <v>2305</v>
      </c>
      <c r="D952" s="1" t="s">
        <v>2306</v>
      </c>
      <c r="E952" s="1" t="s">
        <v>2307</v>
      </c>
      <c r="F952" s="1" t="s">
        <v>2308</v>
      </c>
      <c r="G952" s="1">
        <v>44</v>
      </c>
      <c r="H952" s="1">
        <v>0</v>
      </c>
      <c r="I952" s="1">
        <v>2022</v>
      </c>
      <c r="J952" s="1">
        <v>13</v>
      </c>
      <c r="K952" s="1">
        <v>38</v>
      </c>
      <c r="L952" s="1">
        <v>8</v>
      </c>
      <c r="M952" s="1">
        <v>37</v>
      </c>
      <c r="N952" s="1" t="s">
        <v>6</v>
      </c>
      <c r="O952" s="1" t="s">
        <v>2309</v>
      </c>
      <c r="P952" s="3" t="str">
        <f>HYPERLINK("http://dx.doi.org/10.46925//rdluz.38.02","http://dx.doi.org/10.46925//rdluz.38.02")</f>
        <v>http://dx.doi.org/10.46925//rdluz.38.02</v>
      </c>
    </row>
    <row r="953" spans="1:16" ht="15.75" customHeight="1">
      <c r="A953" s="1" t="s">
        <v>10</v>
      </c>
      <c r="B953" s="1" t="s">
        <v>3882</v>
      </c>
      <c r="C953" s="1" t="s">
        <v>3883</v>
      </c>
      <c r="D953" s="1" t="s">
        <v>3884</v>
      </c>
      <c r="E953" s="1" t="s">
        <v>3885</v>
      </c>
      <c r="F953" s="1" t="s">
        <v>3886</v>
      </c>
      <c r="H953" s="1">
        <v>0</v>
      </c>
      <c r="I953" s="1">
        <v>2022</v>
      </c>
      <c r="K953" s="1">
        <v>52</v>
      </c>
      <c r="O953" s="1" t="s">
        <v>3887</v>
      </c>
    </row>
    <row r="954" spans="1:16" ht="15.75" customHeight="1">
      <c r="A954" s="1" t="s">
        <v>10</v>
      </c>
      <c r="B954" s="1" t="s">
        <v>4655</v>
      </c>
      <c r="C954" s="1" t="s">
        <v>4656</v>
      </c>
      <c r="D954" s="1" t="s">
        <v>650</v>
      </c>
      <c r="E954" s="1" t="s">
        <v>4657</v>
      </c>
      <c r="F954" s="1" t="s">
        <v>4658</v>
      </c>
      <c r="H954" s="1">
        <v>0</v>
      </c>
      <c r="I954" s="1">
        <v>2022</v>
      </c>
      <c r="J954" s="1">
        <v>2022</v>
      </c>
      <c r="K954" s="1">
        <v>43</v>
      </c>
      <c r="O954" s="1" t="s">
        <v>4659</v>
      </c>
    </row>
    <row r="955" spans="1:16" ht="15.75" customHeight="1">
      <c r="A955" s="1" t="s">
        <v>10</v>
      </c>
      <c r="B955" s="1" t="s">
        <v>3218</v>
      </c>
      <c r="C955" s="1" t="s">
        <v>3219</v>
      </c>
      <c r="D955" s="1" t="s">
        <v>3220</v>
      </c>
      <c r="E955" s="1" t="s">
        <v>3221</v>
      </c>
      <c r="F955" s="1" t="s">
        <v>3222</v>
      </c>
      <c r="H955" s="1">
        <v>0</v>
      </c>
      <c r="I955" s="1">
        <v>2022</v>
      </c>
      <c r="J955" s="1">
        <v>20</v>
      </c>
      <c r="K955" s="1">
        <v>1</v>
      </c>
      <c r="O955" s="1" t="s">
        <v>3223</v>
      </c>
    </row>
    <row r="956" spans="1:16" ht="15.75" customHeight="1">
      <c r="A956" s="1" t="s">
        <v>0</v>
      </c>
      <c r="B956" s="1" t="s">
        <v>3037</v>
      </c>
      <c r="C956" s="1" t="s">
        <v>3038</v>
      </c>
      <c r="D956" s="1" t="s">
        <v>2339</v>
      </c>
      <c r="E956" s="1" t="s">
        <v>3039</v>
      </c>
      <c r="F956" s="1" t="s">
        <v>3040</v>
      </c>
      <c r="G956" s="1">
        <v>39</v>
      </c>
      <c r="H956" s="1">
        <v>0</v>
      </c>
      <c r="I956" s="1">
        <v>2022</v>
      </c>
      <c r="K956" s="1" t="s">
        <v>396</v>
      </c>
    </row>
    <row r="957" spans="1:16" ht="15.75" customHeight="1">
      <c r="A957" s="1" t="s">
        <v>0</v>
      </c>
      <c r="B957" s="1" t="s">
        <v>2549</v>
      </c>
      <c r="C957" s="1" t="s">
        <v>2550</v>
      </c>
      <c r="D957" s="1" t="s">
        <v>148</v>
      </c>
      <c r="E957" s="1" t="s">
        <v>2551</v>
      </c>
      <c r="F957" s="1" t="s">
        <v>2552</v>
      </c>
      <c r="G957" s="1">
        <v>82</v>
      </c>
      <c r="H957" s="1">
        <v>0</v>
      </c>
      <c r="I957" s="1">
        <v>2022</v>
      </c>
      <c r="J957" s="1">
        <v>30</v>
      </c>
      <c r="K957" s="1" t="s">
        <v>6</v>
      </c>
      <c r="L957" s="1" t="s">
        <v>6</v>
      </c>
      <c r="M957" s="1" t="s">
        <v>6</v>
      </c>
      <c r="N957" s="1" t="s">
        <v>6</v>
      </c>
      <c r="O957" s="1" t="s">
        <v>2553</v>
      </c>
      <c r="P957" s="3" t="str">
        <f>HYPERLINK("http://dx.doi.org/10.14507/epaa.30.6057","http://dx.doi.org/10.14507/epaa.30.6057")</f>
        <v>http://dx.doi.org/10.14507/epaa.30.6057</v>
      </c>
    </row>
    <row r="958" spans="1:16" ht="15.75" customHeight="1">
      <c r="A958" s="1" t="s">
        <v>0</v>
      </c>
      <c r="B958" s="1" t="s">
        <v>6595</v>
      </c>
      <c r="C958" s="1" t="s">
        <v>6596</v>
      </c>
      <c r="D958" s="1" t="s">
        <v>996</v>
      </c>
      <c r="E958" s="1" t="s">
        <v>6597</v>
      </c>
      <c r="F958" s="1" t="s">
        <v>6598</v>
      </c>
      <c r="G958" s="1">
        <v>33</v>
      </c>
      <c r="H958" s="1">
        <v>0</v>
      </c>
      <c r="I958" s="1">
        <v>2022</v>
      </c>
      <c r="J958" s="1">
        <v>32</v>
      </c>
      <c r="K958" s="1">
        <v>1</v>
      </c>
      <c r="L958" s="1">
        <v>493</v>
      </c>
      <c r="M958" s="1">
        <v>513</v>
      </c>
      <c r="N958" s="1" t="s">
        <v>6</v>
      </c>
      <c r="O958" s="1" t="s">
        <v>6599</v>
      </c>
      <c r="P958" s="3" t="str">
        <f>HYPERLINK("http://dx.doi.org/10.7770/CUHSO-V32N1-ART2408","http://dx.doi.org/10.7770/CUHSO-V32N1-ART2408")</f>
        <v>http://dx.doi.org/10.7770/CUHSO-V32N1-ART2408</v>
      </c>
    </row>
    <row r="959" spans="1:16" ht="15.75" customHeight="1">
      <c r="A959" s="1" t="s">
        <v>10</v>
      </c>
      <c r="B959" s="1" t="s">
        <v>5267</v>
      </c>
      <c r="C959" s="1" t="s">
        <v>5268</v>
      </c>
      <c r="D959" s="2" t="s">
        <v>5269</v>
      </c>
      <c r="E959" s="1" t="s">
        <v>5270</v>
      </c>
      <c r="F959" s="1" t="s">
        <v>5271</v>
      </c>
      <c r="H959" s="1">
        <v>0</v>
      </c>
      <c r="I959" s="1">
        <v>2022</v>
      </c>
      <c r="J959" s="1">
        <v>30</v>
      </c>
      <c r="O959" s="1" t="s">
        <v>5272</v>
      </c>
    </row>
    <row r="960" spans="1:16" ht="15.75" customHeight="1">
      <c r="A960" s="1" t="s">
        <v>0</v>
      </c>
      <c r="B960" s="1" t="s">
        <v>3446</v>
      </c>
      <c r="C960" s="1" t="s">
        <v>3447</v>
      </c>
      <c r="D960" s="1" t="s">
        <v>2910</v>
      </c>
      <c r="E960" s="1" t="s">
        <v>3448</v>
      </c>
      <c r="F960" s="1" t="s">
        <v>3449</v>
      </c>
      <c r="G960" s="1">
        <v>42</v>
      </c>
      <c r="H960" s="1">
        <v>0</v>
      </c>
      <c r="I960" s="1">
        <v>2022</v>
      </c>
      <c r="J960" s="1">
        <v>23</v>
      </c>
      <c r="K960" s="1" t="s">
        <v>6</v>
      </c>
      <c r="L960" s="1" t="s">
        <v>6</v>
      </c>
      <c r="M960" s="1" t="s">
        <v>6</v>
      </c>
      <c r="N960" s="1" t="s">
        <v>3450</v>
      </c>
      <c r="O960" s="1" t="s">
        <v>3451</v>
      </c>
      <c r="P960" s="3" t="str">
        <f>HYPERLINK("http://dx.doi.org/10.21670/ref.2202086","http://dx.doi.org/10.21670/ref.2202086")</f>
        <v>http://dx.doi.org/10.21670/ref.2202086</v>
      </c>
    </row>
    <row r="961" spans="1:16" ht="15.75" customHeight="1">
      <c r="A961" s="1" t="s">
        <v>0</v>
      </c>
      <c r="B961" s="1" t="s">
        <v>4879</v>
      </c>
      <c r="C961" s="1" t="s">
        <v>4880</v>
      </c>
      <c r="D961" s="1" t="s">
        <v>1815</v>
      </c>
      <c r="E961" s="1" t="s">
        <v>4881</v>
      </c>
      <c r="F961" s="1" t="s">
        <v>4882</v>
      </c>
      <c r="G961" s="1">
        <v>68</v>
      </c>
      <c r="H961" s="1">
        <v>0</v>
      </c>
      <c r="I961" s="1">
        <v>2022</v>
      </c>
      <c r="J961" s="1">
        <v>51</v>
      </c>
      <c r="K961" s="1" t="s">
        <v>6</v>
      </c>
      <c r="L961" s="1" t="s">
        <v>6</v>
      </c>
      <c r="M961" s="1" t="s">
        <v>6</v>
      </c>
      <c r="N961" s="1" t="s">
        <v>6</v>
      </c>
      <c r="O961" s="1" t="s">
        <v>6</v>
      </c>
      <c r="P961" s="1" t="s">
        <v>6</v>
      </c>
    </row>
    <row r="962" spans="1:16" ht="15.75" customHeight="1">
      <c r="A962" s="1" t="s">
        <v>10</v>
      </c>
      <c r="B962" s="1" t="s">
        <v>4472</v>
      </c>
      <c r="C962" s="1" t="s">
        <v>4473</v>
      </c>
      <c r="D962" s="1" t="s">
        <v>4474</v>
      </c>
      <c r="E962" s="1" t="s">
        <v>4475</v>
      </c>
      <c r="F962" s="1" t="s">
        <v>4476</v>
      </c>
      <c r="H962" s="1">
        <v>0</v>
      </c>
      <c r="I962" s="1">
        <v>2022</v>
      </c>
      <c r="J962" s="1">
        <v>31</v>
      </c>
      <c r="K962" s="1">
        <v>45</v>
      </c>
      <c r="O962" s="1" t="s">
        <v>4477</v>
      </c>
    </row>
    <row r="963" spans="1:16" ht="15.75" customHeight="1">
      <c r="A963" s="1" t="s">
        <v>0</v>
      </c>
      <c r="B963" s="1" t="s">
        <v>6173</v>
      </c>
      <c r="C963" s="1" t="s">
        <v>6174</v>
      </c>
      <c r="D963" s="1" t="s">
        <v>1428</v>
      </c>
      <c r="E963" s="1" t="s">
        <v>6175</v>
      </c>
      <c r="F963" s="1" t="s">
        <v>6176</v>
      </c>
      <c r="G963" s="1">
        <v>48</v>
      </c>
      <c r="H963" s="1">
        <v>0</v>
      </c>
      <c r="I963" s="1">
        <v>2022</v>
      </c>
      <c r="J963" s="1" t="s">
        <v>6</v>
      </c>
      <c r="K963" s="1">
        <v>89</v>
      </c>
      <c r="L963" s="1">
        <v>261</v>
      </c>
      <c r="M963" s="1">
        <v>288</v>
      </c>
      <c r="N963" s="1" t="s">
        <v>6</v>
      </c>
      <c r="O963" s="1" t="s">
        <v>6177</v>
      </c>
      <c r="P963" s="3" t="str">
        <f>HYPERLINK("http://dx.doi.org/10.18800/derechopucp.202202.009","http://dx.doi.org/10.18800/derechopucp.202202.009")</f>
        <v>http://dx.doi.org/10.18800/derechopucp.202202.009</v>
      </c>
    </row>
    <row r="964" spans="1:16" ht="15.75" customHeight="1">
      <c r="A964" s="1" t="s">
        <v>10</v>
      </c>
      <c r="B964" s="1" t="s">
        <v>422</v>
      </c>
      <c r="C964" s="1" t="s">
        <v>423</v>
      </c>
      <c r="D964" s="1" t="s">
        <v>424</v>
      </c>
      <c r="E964" s="1" t="s">
        <v>425</v>
      </c>
      <c r="F964" s="1" t="s">
        <v>426</v>
      </c>
      <c r="H964" s="1">
        <v>0</v>
      </c>
      <c r="I964" s="1">
        <v>2022</v>
      </c>
      <c r="J964" s="1">
        <v>27</v>
      </c>
      <c r="K964" s="1">
        <v>100</v>
      </c>
      <c r="O964" s="1" t="s">
        <v>427</v>
      </c>
    </row>
    <row r="965" spans="1:16" ht="15.75" customHeight="1">
      <c r="A965" s="1" t="s">
        <v>0</v>
      </c>
      <c r="B965" s="1" t="s">
        <v>3829</v>
      </c>
      <c r="C965" s="1" t="s">
        <v>3830</v>
      </c>
      <c r="D965" s="1" t="s">
        <v>1039</v>
      </c>
      <c r="E965" s="1" t="s">
        <v>3831</v>
      </c>
      <c r="F965" s="1" t="s">
        <v>3832</v>
      </c>
      <c r="G965" s="1">
        <v>39</v>
      </c>
      <c r="H965" s="1">
        <v>0</v>
      </c>
      <c r="I965" s="1">
        <v>2022</v>
      </c>
      <c r="J965" s="1">
        <v>17</v>
      </c>
      <c r="K965" s="1" t="s">
        <v>6</v>
      </c>
      <c r="L965" s="1" t="s">
        <v>6</v>
      </c>
      <c r="M965" s="1" t="s">
        <v>6</v>
      </c>
      <c r="N965" s="1">
        <v>6</v>
      </c>
      <c r="O965" s="1" t="s">
        <v>6</v>
      </c>
      <c r="P965" s="1" t="s">
        <v>6</v>
      </c>
    </row>
    <row r="966" spans="1:16" ht="15.75" customHeight="1">
      <c r="A966" s="1" t="s">
        <v>0</v>
      </c>
      <c r="B966" s="1" t="s">
        <v>2040</v>
      </c>
      <c r="C966" s="1" t="s">
        <v>2041</v>
      </c>
      <c r="D966" s="1" t="s">
        <v>58</v>
      </c>
      <c r="E966" s="1" t="s">
        <v>2042</v>
      </c>
      <c r="F966" s="1" t="s">
        <v>2043</v>
      </c>
      <c r="G966" s="1">
        <v>69</v>
      </c>
      <c r="H966" s="1">
        <v>0</v>
      </c>
      <c r="I966" s="1">
        <v>2022</v>
      </c>
      <c r="J966" s="1">
        <v>22</v>
      </c>
      <c r="K966" s="1">
        <v>1</v>
      </c>
      <c r="L966" s="1">
        <v>8</v>
      </c>
      <c r="M966" s="1">
        <v>33</v>
      </c>
      <c r="N966" s="1" t="s">
        <v>6</v>
      </c>
      <c r="O966" s="1" t="s">
        <v>6</v>
      </c>
      <c r="P966" s="1" t="s">
        <v>6</v>
      </c>
    </row>
    <row r="967" spans="1:16" ht="15.75" customHeight="1">
      <c r="A967" s="1" t="s">
        <v>0</v>
      </c>
      <c r="B967" s="1" t="s">
        <v>2326</v>
      </c>
      <c r="C967" s="1" t="s">
        <v>2327</v>
      </c>
      <c r="D967" s="1" t="s">
        <v>2328</v>
      </c>
      <c r="E967" s="1" t="s">
        <v>2329</v>
      </c>
      <c r="F967" s="1" t="s">
        <v>2330</v>
      </c>
      <c r="G967" s="1">
        <v>63</v>
      </c>
      <c r="H967" s="1">
        <v>0</v>
      </c>
      <c r="I967" s="1">
        <v>2022</v>
      </c>
      <c r="J967" s="1">
        <v>19</v>
      </c>
      <c r="K967" s="1">
        <v>38</v>
      </c>
      <c r="L967" s="1" t="s">
        <v>6</v>
      </c>
      <c r="M967" s="1" t="s">
        <v>6</v>
      </c>
      <c r="N967" s="1">
        <v>6766</v>
      </c>
      <c r="O967" s="1" t="s">
        <v>2331</v>
      </c>
      <c r="P967" s="3" t="str">
        <f>HYPERLINK("http://dx.doi.org/10.15332/2422409X.6766","http://dx.doi.org/10.15332/2422409X.6766")</f>
        <v>http://dx.doi.org/10.15332/2422409X.6766</v>
      </c>
    </row>
    <row r="968" spans="1:16" ht="15.75" customHeight="1">
      <c r="A968" s="1" t="s">
        <v>0</v>
      </c>
      <c r="B968" s="1" t="s">
        <v>560</v>
      </c>
      <c r="C968" s="1" t="s">
        <v>561</v>
      </c>
      <c r="D968" s="1" t="s">
        <v>562</v>
      </c>
      <c r="E968" s="1" t="s">
        <v>563</v>
      </c>
      <c r="F968" s="1" t="s">
        <v>564</v>
      </c>
      <c r="G968" s="1">
        <v>37</v>
      </c>
      <c r="H968" s="1">
        <v>0</v>
      </c>
      <c r="I968" s="1">
        <v>2022</v>
      </c>
      <c r="J968" s="1">
        <v>22</v>
      </c>
      <c r="K968" s="1" t="s">
        <v>6</v>
      </c>
      <c r="L968" s="1">
        <v>647</v>
      </c>
      <c r="M968" s="1">
        <v>678</v>
      </c>
      <c r="N968" s="1" t="s">
        <v>6</v>
      </c>
      <c r="O968" s="1" t="s">
        <v>6</v>
      </c>
      <c r="P968" s="1" t="s">
        <v>6</v>
      </c>
    </row>
    <row r="969" spans="1:16" ht="15.75" customHeight="1">
      <c r="A969" s="1" t="s">
        <v>0</v>
      </c>
      <c r="B969" s="1" t="s">
        <v>5460</v>
      </c>
      <c r="C969" s="1" t="s">
        <v>5461</v>
      </c>
      <c r="D969" s="1" t="s">
        <v>2022</v>
      </c>
      <c r="E969" s="1" t="s">
        <v>5462</v>
      </c>
      <c r="F969" s="1" t="s">
        <v>5463</v>
      </c>
      <c r="G969" s="1">
        <v>23</v>
      </c>
      <c r="H969" s="1">
        <v>0</v>
      </c>
      <c r="I969" s="1">
        <v>2022</v>
      </c>
      <c r="J969" s="1" t="s">
        <v>6</v>
      </c>
      <c r="K969" s="1">
        <v>81</v>
      </c>
      <c r="L969" s="1">
        <v>15</v>
      </c>
      <c r="M969" s="1">
        <v>34</v>
      </c>
      <c r="N969" s="1" t="s">
        <v>6</v>
      </c>
      <c r="O969" s="1" t="s">
        <v>6</v>
      </c>
      <c r="P969" s="1" t="s">
        <v>6</v>
      </c>
    </row>
    <row r="970" spans="1:16" ht="15.75" customHeight="1">
      <c r="A970" s="1" t="s">
        <v>10</v>
      </c>
      <c r="B970" s="1" t="s">
        <v>1455</v>
      </c>
      <c r="C970" s="1" t="s">
        <v>1456</v>
      </c>
      <c r="D970" s="1" t="s">
        <v>1457</v>
      </c>
      <c r="E970" s="1" t="s">
        <v>1458</v>
      </c>
      <c r="F970" s="1" t="s">
        <v>1459</v>
      </c>
      <c r="H970" s="1">
        <v>0</v>
      </c>
      <c r="I970" s="1">
        <v>2022</v>
      </c>
      <c r="J970" s="1">
        <v>31</v>
      </c>
      <c r="K970" s="1">
        <v>2</v>
      </c>
      <c r="O970" s="1" t="s">
        <v>1460</v>
      </c>
    </row>
    <row r="971" spans="1:16" ht="15.75" customHeight="1">
      <c r="A971" s="1" t="s">
        <v>0</v>
      </c>
      <c r="B971" s="1" t="s">
        <v>6993</v>
      </c>
      <c r="C971" s="1" t="s">
        <v>6994</v>
      </c>
      <c r="D971" s="1" t="s">
        <v>1264</v>
      </c>
      <c r="E971" s="1" t="s">
        <v>6995</v>
      </c>
      <c r="F971" s="1" t="s">
        <v>6996</v>
      </c>
      <c r="G971" s="1">
        <v>34</v>
      </c>
      <c r="H971" s="1">
        <v>0</v>
      </c>
      <c r="I971" s="1">
        <v>2022</v>
      </c>
      <c r="J971" s="1">
        <v>12</v>
      </c>
      <c r="K971" s="1">
        <v>2</v>
      </c>
      <c r="L971" s="1">
        <v>31</v>
      </c>
      <c r="M971" s="1">
        <v>81</v>
      </c>
      <c r="N971" s="1" t="s">
        <v>6</v>
      </c>
      <c r="O971" s="1" t="s">
        <v>6997</v>
      </c>
      <c r="P971" s="3" t="str">
        <f>HYPERLINK("http://dx.doi.org/10.25115/riem.v12i2.4656","http://dx.doi.org/10.25115/riem.v12i2.4656")</f>
        <v>http://dx.doi.org/10.25115/riem.v12i2.4656</v>
      </c>
    </row>
    <row r="972" spans="1:16" ht="15.75" customHeight="1">
      <c r="A972" s="1" t="s">
        <v>10</v>
      </c>
      <c r="B972" s="1" t="s">
        <v>6380</v>
      </c>
      <c r="C972" s="1" t="s">
        <v>6381</v>
      </c>
      <c r="D972" s="1" t="s">
        <v>6382</v>
      </c>
      <c r="E972" s="1" t="s">
        <v>6383</v>
      </c>
      <c r="F972" s="1" t="s">
        <v>6384</v>
      </c>
      <c r="H972" s="1">
        <v>0</v>
      </c>
      <c r="I972" s="1">
        <v>2022</v>
      </c>
      <c r="J972" s="1">
        <v>14</v>
      </c>
      <c r="K972" s="1">
        <v>6</v>
      </c>
    </row>
    <row r="973" spans="1:16" ht="15.75" customHeight="1">
      <c r="A973" s="1" t="s">
        <v>0</v>
      </c>
      <c r="B973" s="1" t="s">
        <v>2310</v>
      </c>
      <c r="C973" s="1" t="s">
        <v>2311</v>
      </c>
      <c r="D973" s="1" t="s">
        <v>264</v>
      </c>
      <c r="E973" s="1" t="s">
        <v>2312</v>
      </c>
      <c r="F973" s="1" t="s">
        <v>2313</v>
      </c>
      <c r="G973" s="1">
        <v>39</v>
      </c>
      <c r="H973" s="1">
        <v>0</v>
      </c>
      <c r="I973" s="1">
        <v>2022</v>
      </c>
      <c r="J973" s="1">
        <v>48</v>
      </c>
      <c r="K973" s="1">
        <v>13</v>
      </c>
      <c r="L973" s="1">
        <v>3202</v>
      </c>
      <c r="M973" s="1">
        <v>3220</v>
      </c>
      <c r="N973" s="1" t="s">
        <v>6</v>
      </c>
      <c r="O973" s="1" t="s">
        <v>2314</v>
      </c>
      <c r="P973" s="3" t="str">
        <f>HYPERLINK("http://dx.doi.org/10.1080/1369183X.2020.1797478","http://dx.doi.org/10.1080/1369183X.2020.1797478")</f>
        <v>http://dx.doi.org/10.1080/1369183X.2020.1797478</v>
      </c>
    </row>
    <row r="974" spans="1:16" ht="15.75" customHeight="1">
      <c r="A974" s="1" t="s">
        <v>10</v>
      </c>
      <c r="B974" s="1" t="s">
        <v>3175</v>
      </c>
      <c r="C974" s="1" t="s">
        <v>3176</v>
      </c>
      <c r="D974" s="1" t="s">
        <v>727</v>
      </c>
      <c r="E974" s="1" t="s">
        <v>3177</v>
      </c>
      <c r="F974" s="1" t="s">
        <v>3178</v>
      </c>
      <c r="H974" s="1">
        <v>0</v>
      </c>
      <c r="I974" s="1">
        <v>2022</v>
      </c>
      <c r="J974" s="1">
        <v>28</v>
      </c>
      <c r="K974" s="1">
        <v>2</v>
      </c>
      <c r="O974" s="1" t="s">
        <v>3179</v>
      </c>
    </row>
    <row r="975" spans="1:16" ht="15.75" customHeight="1">
      <c r="A975" s="1" t="s">
        <v>0</v>
      </c>
      <c r="B975" s="2" t="s">
        <v>5400</v>
      </c>
      <c r="C975" s="1" t="s">
        <v>5401</v>
      </c>
      <c r="D975" s="1" t="s">
        <v>2182</v>
      </c>
      <c r="E975" s="1" t="s">
        <v>5402</v>
      </c>
      <c r="F975" s="1" t="s">
        <v>5403</v>
      </c>
      <c r="G975" s="1">
        <v>62</v>
      </c>
      <c r="H975" s="1">
        <v>0</v>
      </c>
      <c r="I975" s="1">
        <v>2022</v>
      </c>
      <c r="J975" s="1">
        <v>35</v>
      </c>
      <c r="K975" s="1" t="s">
        <v>378</v>
      </c>
    </row>
    <row r="976" spans="1:16" ht="15.75" customHeight="1">
      <c r="A976" s="1" t="s">
        <v>0</v>
      </c>
      <c r="B976" s="1" t="s">
        <v>3301</v>
      </c>
      <c r="C976" s="1" t="s">
        <v>3302</v>
      </c>
      <c r="D976" s="1" t="s">
        <v>2078</v>
      </c>
      <c r="E976" s="1" t="s">
        <v>3303</v>
      </c>
      <c r="F976" s="1" t="s">
        <v>3304</v>
      </c>
      <c r="G976" s="1">
        <v>49</v>
      </c>
      <c r="H976" s="1">
        <v>0</v>
      </c>
      <c r="I976" s="1">
        <v>2022</v>
      </c>
      <c r="J976" s="1">
        <v>14</v>
      </c>
      <c r="K976" s="1">
        <v>2</v>
      </c>
      <c r="L976" s="1">
        <v>98</v>
      </c>
      <c r="M976" s="1">
        <v>107</v>
      </c>
      <c r="N976" s="1" t="s">
        <v>6</v>
      </c>
      <c r="O976" s="1" t="s">
        <v>6</v>
      </c>
      <c r="P976" s="1" t="s">
        <v>6</v>
      </c>
    </row>
    <row r="977" spans="1:16" ht="15.75" customHeight="1">
      <c r="A977" s="1" t="s">
        <v>0</v>
      </c>
      <c r="B977" s="1" t="s">
        <v>6590</v>
      </c>
      <c r="C977" s="1" t="s">
        <v>6591</v>
      </c>
      <c r="D977" s="1" t="s">
        <v>5374</v>
      </c>
      <c r="E977" s="1" t="s">
        <v>6592</v>
      </c>
      <c r="F977" s="1" t="s">
        <v>6593</v>
      </c>
      <c r="G977" s="1">
        <v>43</v>
      </c>
      <c r="H977" s="1">
        <v>0</v>
      </c>
      <c r="I977" s="1">
        <v>2022</v>
      </c>
      <c r="J977" s="1">
        <v>37</v>
      </c>
      <c r="K977" s="1">
        <v>105</v>
      </c>
      <c r="L977" s="1">
        <v>204</v>
      </c>
      <c r="M977" s="1">
        <v>225</v>
      </c>
      <c r="N977" s="1" t="s">
        <v>6</v>
      </c>
      <c r="O977" s="1" t="s">
        <v>6594</v>
      </c>
      <c r="P977" s="3" t="str">
        <f>HYPERLINK("http://dx.doi.org/10.5354/0718-8358.2022.65962","http://dx.doi.org/10.5354/0718-8358.2022.65962")</f>
        <v>http://dx.doi.org/10.5354/0718-8358.2022.65962</v>
      </c>
    </row>
    <row r="978" spans="1:16" ht="15.75" customHeight="1">
      <c r="A978" s="1" t="s">
        <v>0</v>
      </c>
      <c r="B978" s="1" t="s">
        <v>607</v>
      </c>
      <c r="C978" s="1" t="s">
        <v>608</v>
      </c>
      <c r="D978" s="1" t="s">
        <v>609</v>
      </c>
      <c r="E978" s="1" t="s">
        <v>610</v>
      </c>
      <c r="F978" s="1" t="s">
        <v>611</v>
      </c>
      <c r="G978" s="1">
        <v>93</v>
      </c>
      <c r="H978" s="1">
        <v>0</v>
      </c>
      <c r="I978" s="1">
        <v>2022</v>
      </c>
      <c r="J978" s="1" t="s">
        <v>6</v>
      </c>
      <c r="K978" s="1">
        <v>130</v>
      </c>
      <c r="L978" s="1">
        <v>193</v>
      </c>
      <c r="M978" s="1">
        <v>219</v>
      </c>
      <c r="N978" s="1" t="s">
        <v>6</v>
      </c>
      <c r="O978" s="1" t="s">
        <v>612</v>
      </c>
      <c r="P978" s="3" t="str">
        <f>HYPERLINK("http://dx.doi.org/10.24241/rcai.2022.130.1.193","http://dx.doi.org/10.24241/rcai.2022.130.1.193")</f>
        <v>http://dx.doi.org/10.24241/rcai.2022.130.1.193</v>
      </c>
    </row>
    <row r="979" spans="1:16" ht="15.75" customHeight="1">
      <c r="A979" s="1" t="s">
        <v>0</v>
      </c>
      <c r="B979" s="1" t="s">
        <v>5843</v>
      </c>
      <c r="C979" s="1" t="s">
        <v>5844</v>
      </c>
      <c r="D979" s="1" t="s">
        <v>578</v>
      </c>
      <c r="E979" s="1" t="s">
        <v>5845</v>
      </c>
      <c r="F979" s="1" t="s">
        <v>5846</v>
      </c>
      <c r="G979" s="1">
        <v>103</v>
      </c>
      <c r="H979" s="1">
        <v>0</v>
      </c>
      <c r="I979" s="1">
        <v>2022</v>
      </c>
      <c r="J979" s="1">
        <v>17</v>
      </c>
      <c r="K979" s="1" t="s">
        <v>1093</v>
      </c>
      <c r="O979" s="1" t="s">
        <v>5847</v>
      </c>
    </row>
    <row r="980" spans="1:16" ht="15.75" customHeight="1">
      <c r="A980" s="1" t="s">
        <v>10</v>
      </c>
      <c r="B980" s="1" t="s">
        <v>6747</v>
      </c>
      <c r="C980" s="1" t="s">
        <v>6748</v>
      </c>
      <c r="D980" s="1" t="s">
        <v>2166</v>
      </c>
      <c r="E980" s="1" t="s">
        <v>6749</v>
      </c>
      <c r="F980" s="1" t="s">
        <v>6750</v>
      </c>
      <c r="H980" s="1">
        <v>0</v>
      </c>
      <c r="I980" s="1">
        <v>2022</v>
      </c>
      <c r="J980" s="1">
        <v>14</v>
      </c>
      <c r="K980" s="1">
        <v>2</v>
      </c>
      <c r="O980" s="1" t="s">
        <v>6751</v>
      </c>
    </row>
    <row r="981" spans="1:16" ht="15.75" customHeight="1">
      <c r="A981" s="1" t="s">
        <v>0</v>
      </c>
      <c r="B981" s="1" t="s">
        <v>994</v>
      </c>
      <c r="C981" s="1" t="s">
        <v>995</v>
      </c>
      <c r="D981" s="1" t="s">
        <v>996</v>
      </c>
      <c r="E981" s="1" t="s">
        <v>997</v>
      </c>
      <c r="F981" s="1" t="s">
        <v>998</v>
      </c>
      <c r="G981" s="1">
        <v>35</v>
      </c>
      <c r="H981" s="1">
        <v>0</v>
      </c>
      <c r="I981" s="1">
        <v>2022</v>
      </c>
      <c r="J981" s="1">
        <v>32</v>
      </c>
      <c r="K981" s="1">
        <v>1</v>
      </c>
      <c r="L981" s="1">
        <v>514</v>
      </c>
      <c r="M981" s="1">
        <v>534</v>
      </c>
      <c r="N981" s="1" t="s">
        <v>6</v>
      </c>
      <c r="O981" s="1" t="s">
        <v>999</v>
      </c>
      <c r="P981" s="3" t="str">
        <f>HYPERLINK("http://dx.doi.org/10.7770/CUHSO-V32N1-ART2406","http://dx.doi.org/10.7770/CUHSO-V32N1-ART2406")</f>
        <v>http://dx.doi.org/10.7770/CUHSO-V32N1-ART2406</v>
      </c>
    </row>
    <row r="982" spans="1:16" ht="15.75" customHeight="1">
      <c r="A982" s="1" t="s">
        <v>0</v>
      </c>
      <c r="B982" s="1" t="s">
        <v>1362</v>
      </c>
      <c r="C982" s="1" t="s">
        <v>1363</v>
      </c>
      <c r="D982" s="1" t="s">
        <v>1364</v>
      </c>
      <c r="E982" s="1" t="s">
        <v>1365</v>
      </c>
      <c r="F982" s="1" t="s">
        <v>1366</v>
      </c>
      <c r="G982" s="1">
        <v>25</v>
      </c>
      <c r="H982" s="1">
        <v>0</v>
      </c>
      <c r="I982" s="1">
        <v>2022</v>
      </c>
      <c r="J982" s="1">
        <v>16</v>
      </c>
      <c r="K982" s="1" t="s">
        <v>6</v>
      </c>
      <c r="L982" s="1" t="s">
        <v>6</v>
      </c>
      <c r="M982" s="1" t="s">
        <v>6</v>
      </c>
      <c r="N982" s="1" t="s">
        <v>1367</v>
      </c>
      <c r="O982" s="1" t="s">
        <v>1368</v>
      </c>
      <c r="P982" s="3" t="str">
        <f>HYPERLINK("http://dx.doi.org/10.31406/relap2022.V16.e202108","http://dx.doi.org/10.31406/relap2022.V16.e202108")</f>
        <v>http://dx.doi.org/10.31406/relap2022.V16.e202108</v>
      </c>
    </row>
    <row r="983" spans="1:16" ht="15.75" customHeight="1">
      <c r="A983" s="1" t="s">
        <v>0</v>
      </c>
      <c r="B983" s="1" t="s">
        <v>3930</v>
      </c>
      <c r="C983" s="1" t="s">
        <v>3931</v>
      </c>
      <c r="D983" s="1" t="s">
        <v>1021</v>
      </c>
      <c r="E983" s="1" t="s">
        <v>3932</v>
      </c>
      <c r="F983" s="1" t="s">
        <v>3933</v>
      </c>
      <c r="G983" s="1">
        <v>53</v>
      </c>
      <c r="H983" s="1">
        <v>0</v>
      </c>
      <c r="I983" s="1">
        <v>2022</v>
      </c>
      <c r="J983" s="1" t="s">
        <v>6</v>
      </c>
      <c r="K983" s="1">
        <v>526</v>
      </c>
      <c r="L983" s="1">
        <v>61</v>
      </c>
      <c r="M983" s="1">
        <v>85</v>
      </c>
      <c r="N983" s="1" t="s">
        <v>6</v>
      </c>
      <c r="O983" s="1" t="s">
        <v>3934</v>
      </c>
      <c r="P983" s="3" t="str">
        <f>HYPERLINK("http://dx.doi.org/10.29393/At526-3NSMF30003","http://dx.doi.org/10.29393/At526-3NSMF30003")</f>
        <v>http://dx.doi.org/10.29393/At526-3NSMF30003</v>
      </c>
    </row>
    <row r="984" spans="1:16" ht="15.75" customHeight="1">
      <c r="A984" s="1" t="s">
        <v>0</v>
      </c>
      <c r="B984" s="1" t="s">
        <v>4664</v>
      </c>
      <c r="C984" s="1" t="s">
        <v>4665</v>
      </c>
      <c r="D984" s="1" t="s">
        <v>4666</v>
      </c>
      <c r="E984" s="1" t="s">
        <v>4667</v>
      </c>
      <c r="F984" s="1" t="s">
        <v>4668</v>
      </c>
      <c r="G984" s="1">
        <v>35</v>
      </c>
      <c r="H984" s="1">
        <v>0</v>
      </c>
      <c r="I984" s="1">
        <v>2022</v>
      </c>
      <c r="J984" s="1">
        <v>32</v>
      </c>
      <c r="K984" s="1">
        <v>2</v>
      </c>
      <c r="L984" s="1">
        <v>231</v>
      </c>
      <c r="M984" s="1">
        <v>245</v>
      </c>
      <c r="N984" s="1" t="s">
        <v>6</v>
      </c>
      <c r="O984" s="1" t="s">
        <v>4669</v>
      </c>
      <c r="P984" s="3" t="str">
        <f>HYPERLINK("http://dx.doi.org/10.15443/RL3214","http://dx.doi.org/10.15443/RL3214")</f>
        <v>http://dx.doi.org/10.15443/RL3214</v>
      </c>
    </row>
    <row r="985" spans="1:16" ht="15.75" customHeight="1">
      <c r="A985" s="1" t="s">
        <v>0</v>
      </c>
      <c r="B985" s="1" t="s">
        <v>2393</v>
      </c>
      <c r="C985" s="1" t="s">
        <v>2394</v>
      </c>
      <c r="D985" s="2" t="s">
        <v>2395</v>
      </c>
      <c r="E985" s="1" t="s">
        <v>2396</v>
      </c>
      <c r="F985" s="1" t="s">
        <v>2397</v>
      </c>
      <c r="G985" s="1">
        <v>63</v>
      </c>
      <c r="H985" s="1">
        <v>0</v>
      </c>
      <c r="I985" s="1">
        <v>2022</v>
      </c>
      <c r="J985" s="1">
        <v>20</v>
      </c>
      <c r="K985" s="1" t="s">
        <v>61</v>
      </c>
    </row>
    <row r="986" spans="1:16" ht="15.75" customHeight="1">
      <c r="A986" s="1" t="s">
        <v>0</v>
      </c>
      <c r="B986" s="1" t="s">
        <v>2443</v>
      </c>
      <c r="C986" s="1" t="s">
        <v>2444</v>
      </c>
      <c r="D986" s="1" t="s">
        <v>2445</v>
      </c>
      <c r="E986" s="1" t="s">
        <v>2446</v>
      </c>
      <c r="F986" s="1" t="s">
        <v>2447</v>
      </c>
      <c r="G986" s="1">
        <v>25</v>
      </c>
      <c r="H986" s="1">
        <v>0</v>
      </c>
      <c r="I986" s="1">
        <v>2022</v>
      </c>
      <c r="J986" s="1" t="s">
        <v>6</v>
      </c>
      <c r="K986" s="1">
        <v>15</v>
      </c>
      <c r="L986" s="1">
        <v>13</v>
      </c>
      <c r="M986" s="1">
        <v>43</v>
      </c>
      <c r="N986" s="1" t="s">
        <v>6</v>
      </c>
      <c r="O986" s="1" t="s">
        <v>2448</v>
      </c>
      <c r="P986" s="3" t="str">
        <f>HYPERLINK("http://dx.doi.org/10.12795/HabitatySociedad.2022.i15.02","http://dx.doi.org/10.12795/HabitatySociedad.2022.i15.02")</f>
        <v>http://dx.doi.org/10.12795/HabitatySociedad.2022.i15.02</v>
      </c>
    </row>
    <row r="987" spans="1:16" ht="15.75" customHeight="1">
      <c r="A987" s="1" t="s">
        <v>0</v>
      </c>
      <c r="B987" s="1" t="s">
        <v>565</v>
      </c>
      <c r="C987" s="1" t="s">
        <v>566</v>
      </c>
      <c r="D987" s="1" t="s">
        <v>567</v>
      </c>
      <c r="E987" s="1" t="s">
        <v>568</v>
      </c>
      <c r="F987" s="1" t="s">
        <v>569</v>
      </c>
      <c r="G987" s="1">
        <v>37</v>
      </c>
      <c r="H987" s="1">
        <v>0</v>
      </c>
      <c r="I987" s="1">
        <v>2022</v>
      </c>
      <c r="J987" s="1">
        <v>16</v>
      </c>
      <c r="K987" s="1">
        <v>3</v>
      </c>
      <c r="L987" s="1">
        <v>612</v>
      </c>
      <c r="M987" s="1">
        <v>627</v>
      </c>
      <c r="N987" s="1" t="s">
        <v>6</v>
      </c>
      <c r="O987" s="1" t="s">
        <v>6</v>
      </c>
      <c r="P987" s="1" t="s">
        <v>6</v>
      </c>
    </row>
    <row r="988" spans="1:16" ht="15.75" customHeight="1">
      <c r="A988" s="1" t="s">
        <v>0</v>
      </c>
      <c r="B988" s="1" t="s">
        <v>2195</v>
      </c>
      <c r="C988" s="1" t="s">
        <v>2196</v>
      </c>
      <c r="D988" s="1" t="s">
        <v>2197</v>
      </c>
      <c r="E988" s="1" t="s">
        <v>2198</v>
      </c>
      <c r="F988" s="1" t="s">
        <v>2199</v>
      </c>
      <c r="G988" s="1">
        <v>88</v>
      </c>
      <c r="H988" s="1">
        <v>0</v>
      </c>
      <c r="I988" s="1">
        <v>2022</v>
      </c>
      <c r="J988" s="1">
        <v>22</v>
      </c>
      <c r="K988" s="1">
        <v>2</v>
      </c>
      <c r="L988" s="1">
        <v>274</v>
      </c>
      <c r="M988" s="1">
        <v>296</v>
      </c>
      <c r="N988" s="1">
        <v>1.4687968211073134E+16</v>
      </c>
      <c r="O988" s="1" t="s">
        <v>2200</v>
      </c>
      <c r="P988" s="3" t="str">
        <f>HYPERLINK("http://dx.doi.org/10.1177/14687968211073134","http://dx.doi.org/10.1177/14687968211073134")</f>
        <v>http://dx.doi.org/10.1177/14687968211073134</v>
      </c>
    </row>
    <row r="989" spans="1:16" ht="15.75" customHeight="1">
      <c r="A989" s="1" t="s">
        <v>0</v>
      </c>
      <c r="B989" s="1" t="s">
        <v>286</v>
      </c>
      <c r="C989" s="1" t="s">
        <v>287</v>
      </c>
      <c r="D989" s="1" t="s">
        <v>288</v>
      </c>
      <c r="E989" s="1" t="s">
        <v>289</v>
      </c>
      <c r="F989" s="1" t="s">
        <v>290</v>
      </c>
      <c r="G989" s="1">
        <v>52</v>
      </c>
      <c r="H989" s="1">
        <v>0</v>
      </c>
      <c r="I989" s="1">
        <v>2022</v>
      </c>
      <c r="J989" s="1">
        <v>19</v>
      </c>
      <c r="K989" s="1">
        <v>2</v>
      </c>
      <c r="L989" s="1" t="s">
        <v>6</v>
      </c>
      <c r="M989" s="1" t="s">
        <v>6</v>
      </c>
      <c r="N989" s="1" t="s">
        <v>6</v>
      </c>
      <c r="O989" s="1" t="s">
        <v>291</v>
      </c>
      <c r="P989" s="3" t="str">
        <f>HYPERLINK("http://dx.doi.org/10.15517/c.a..v19i2.50668","http://dx.doi.org/10.15517/c.a..v19i2.50668")</f>
        <v>http://dx.doi.org/10.15517/c.a..v19i2.50668</v>
      </c>
    </row>
    <row r="990" spans="1:16" ht="15.75" customHeight="1">
      <c r="A990" s="1" t="s">
        <v>0</v>
      </c>
      <c r="B990" s="1" t="s">
        <v>4123</v>
      </c>
      <c r="C990" s="1" t="s">
        <v>4124</v>
      </c>
      <c r="D990" s="1" t="s">
        <v>2128</v>
      </c>
      <c r="E990" s="1" t="s">
        <v>4125</v>
      </c>
      <c r="F990" s="1" t="s">
        <v>4126</v>
      </c>
      <c r="G990" s="1">
        <v>67</v>
      </c>
      <c r="H990" s="1">
        <v>0</v>
      </c>
      <c r="I990" s="1">
        <v>2022</v>
      </c>
      <c r="J990" s="1">
        <v>49</v>
      </c>
      <c r="K990" s="1">
        <v>2</v>
      </c>
      <c r="L990" s="1">
        <v>33</v>
      </c>
      <c r="M990" s="1">
        <v>42</v>
      </c>
      <c r="N990" s="1" t="s">
        <v>6</v>
      </c>
      <c r="O990" s="1" t="s">
        <v>4127</v>
      </c>
      <c r="P990" s="3" t="str">
        <f>HYPERLINK("http://dx.doi.org/10.7764/R.492.2","http://dx.doi.org/10.7764/R.492.2")</f>
        <v>http://dx.doi.org/10.7764/R.492.2</v>
      </c>
    </row>
    <row r="991" spans="1:16" ht="15.75" customHeight="1">
      <c r="A991" s="1" t="s">
        <v>0</v>
      </c>
      <c r="B991" s="1" t="s">
        <v>2256</v>
      </c>
      <c r="C991" s="1" t="s">
        <v>2257</v>
      </c>
      <c r="D991" s="1" t="s">
        <v>2258</v>
      </c>
      <c r="E991" s="1" t="s">
        <v>2259</v>
      </c>
      <c r="F991" s="1" t="s">
        <v>2260</v>
      </c>
      <c r="G991" s="1">
        <v>34</v>
      </c>
      <c r="H991" s="1">
        <v>0</v>
      </c>
      <c r="I991" s="1">
        <v>2022</v>
      </c>
      <c r="K991" s="1" t="s">
        <v>2261</v>
      </c>
      <c r="O991" s="1" t="s">
        <v>2262</v>
      </c>
    </row>
    <row r="992" spans="1:16" ht="15.75" customHeight="1">
      <c r="A992" s="1" t="s">
        <v>0</v>
      </c>
      <c r="B992" s="1" t="s">
        <v>4611</v>
      </c>
      <c r="C992" s="1" t="s">
        <v>4612</v>
      </c>
      <c r="D992" s="1" t="s">
        <v>4613</v>
      </c>
      <c r="E992" s="1" t="s">
        <v>4614</v>
      </c>
      <c r="F992" s="1" t="s">
        <v>4615</v>
      </c>
      <c r="G992" s="1">
        <v>57</v>
      </c>
      <c r="H992" s="1">
        <v>0</v>
      </c>
      <c r="I992" s="1">
        <v>2022</v>
      </c>
      <c r="K992" s="1" t="s">
        <v>3618</v>
      </c>
    </row>
    <row r="993" spans="1:16" ht="15.75" customHeight="1">
      <c r="A993" s="1" t="s">
        <v>0</v>
      </c>
      <c r="B993" s="1" t="s">
        <v>700</v>
      </c>
      <c r="C993" s="1" t="s">
        <v>701</v>
      </c>
      <c r="D993" s="1" t="s">
        <v>702</v>
      </c>
      <c r="E993" s="1" t="s">
        <v>703</v>
      </c>
      <c r="F993" s="1" t="s">
        <v>704</v>
      </c>
      <c r="G993" s="1">
        <v>33</v>
      </c>
      <c r="H993" s="1">
        <v>0</v>
      </c>
      <c r="I993" s="1">
        <v>2022</v>
      </c>
      <c r="J993" s="1" t="s">
        <v>6</v>
      </c>
      <c r="K993" s="1">
        <v>47</v>
      </c>
      <c r="L993" s="1">
        <v>1</v>
      </c>
      <c r="M993" s="1">
        <v>19</v>
      </c>
      <c r="N993" s="1" t="s">
        <v>6</v>
      </c>
      <c r="O993" s="1" t="s">
        <v>705</v>
      </c>
      <c r="P993" s="3" t="str">
        <f>HYPERLINK("http://dx.doi.org/10.12804/revistas.urosario.edu.co/territorios/a.11101","http://dx.doi.org/10.12804/revistas.urosario.edu.co/territorios/a.11101")</f>
        <v>http://dx.doi.org/10.12804/revistas.urosario.edu.co/territorios/a.11101</v>
      </c>
    </row>
    <row r="994" spans="1:16" ht="15.75" customHeight="1">
      <c r="A994" s="1" t="s">
        <v>0</v>
      </c>
      <c r="B994" s="1" t="s">
        <v>1107</v>
      </c>
      <c r="C994" s="1" t="s">
        <v>1108</v>
      </c>
      <c r="D994" s="1" t="s">
        <v>201</v>
      </c>
      <c r="E994" s="1" t="s">
        <v>1109</v>
      </c>
      <c r="F994" s="1" t="s">
        <v>1110</v>
      </c>
      <c r="G994" s="1">
        <v>28</v>
      </c>
      <c r="H994" s="1">
        <v>0</v>
      </c>
      <c r="I994" s="1">
        <v>2022</v>
      </c>
      <c r="J994" s="1" t="s">
        <v>6</v>
      </c>
      <c r="K994" s="1">
        <v>68</v>
      </c>
      <c r="L994" s="1" t="s">
        <v>6</v>
      </c>
      <c r="M994" s="1" t="s">
        <v>6</v>
      </c>
      <c r="N994" s="1" t="s">
        <v>1111</v>
      </c>
      <c r="O994" s="1" t="s">
        <v>1112</v>
      </c>
      <c r="P994" s="3" t="str">
        <f>HYPERLINK("http://dx.doi.org/10.22199/issn.0718-1043-2022-0005","http://dx.doi.org/10.22199/issn.0718-1043-2022-0005")</f>
        <v>http://dx.doi.org/10.22199/issn.0718-1043-2022-0005</v>
      </c>
    </row>
    <row r="995" spans="1:16" ht="15.75" customHeight="1">
      <c r="A995" s="1" t="s">
        <v>0</v>
      </c>
      <c r="B995" s="1" t="s">
        <v>1101</v>
      </c>
      <c r="C995" s="1" t="s">
        <v>1102</v>
      </c>
      <c r="D995" s="1" t="s">
        <v>1103</v>
      </c>
      <c r="E995" s="1" t="s">
        <v>1104</v>
      </c>
      <c r="F995" s="1" t="s">
        <v>1105</v>
      </c>
      <c r="G995" s="1">
        <v>34</v>
      </c>
      <c r="H995" s="1">
        <v>0</v>
      </c>
      <c r="I995" s="1">
        <v>2022</v>
      </c>
      <c r="J995" s="1" t="s">
        <v>6</v>
      </c>
      <c r="K995" s="1" t="s">
        <v>6</v>
      </c>
      <c r="L995" s="1" t="s">
        <v>6</v>
      </c>
      <c r="M995" s="1" t="s">
        <v>6</v>
      </c>
      <c r="N995" s="1" t="s">
        <v>6</v>
      </c>
      <c r="O995" s="1" t="s">
        <v>1106</v>
      </c>
      <c r="P995" s="3" t="str">
        <f>HYPERLINK("http://dx.doi.org/10.1177/0094582X221124921","http://dx.doi.org/10.1177/0094582X221124921")</f>
        <v>http://dx.doi.org/10.1177/0094582X221124921</v>
      </c>
    </row>
    <row r="996" spans="1:16" ht="15.75" customHeight="1">
      <c r="A996" s="1" t="s">
        <v>0</v>
      </c>
      <c r="B996" s="1" t="s">
        <v>2281</v>
      </c>
      <c r="C996" s="1" t="s">
        <v>2282</v>
      </c>
      <c r="D996" s="1" t="s">
        <v>2283</v>
      </c>
      <c r="E996" s="1" t="s">
        <v>2284</v>
      </c>
      <c r="F996" s="1" t="s">
        <v>2285</v>
      </c>
      <c r="G996" s="1">
        <v>5</v>
      </c>
      <c r="H996" s="1">
        <v>0</v>
      </c>
      <c r="I996" s="1">
        <v>2022</v>
      </c>
      <c r="J996" s="1" t="s">
        <v>6</v>
      </c>
      <c r="K996" s="1">
        <v>19</v>
      </c>
      <c r="L996" s="1">
        <v>72</v>
      </c>
      <c r="M996" s="1">
        <v>80</v>
      </c>
      <c r="N996" s="1" t="s">
        <v>6</v>
      </c>
      <c r="O996" s="1" t="s">
        <v>2286</v>
      </c>
      <c r="P996" s="3" t="str">
        <f>HYPERLINK("http://dx.doi.org/10.7203/KAM.19.20312","http://dx.doi.org/10.7203/KAM.19.20312")</f>
        <v>http://dx.doi.org/10.7203/KAM.19.20312</v>
      </c>
    </row>
    <row r="997" spans="1:16" ht="15.75" customHeight="1">
      <c r="A997" s="1" t="s">
        <v>0</v>
      </c>
      <c r="B997" s="1" t="s">
        <v>1019</v>
      </c>
      <c r="C997" s="1" t="s">
        <v>1020</v>
      </c>
      <c r="D997" s="1" t="s">
        <v>1021</v>
      </c>
      <c r="E997" s="1" t="s">
        <v>1022</v>
      </c>
      <c r="F997" s="1" t="s">
        <v>1023</v>
      </c>
      <c r="G997" s="1">
        <v>35</v>
      </c>
      <c r="H997" s="1">
        <v>0</v>
      </c>
      <c r="I997" s="1">
        <v>2022</v>
      </c>
      <c r="J997" s="1" t="s">
        <v>6</v>
      </c>
      <c r="K997" s="1">
        <v>525</v>
      </c>
      <c r="L997" s="1">
        <v>11</v>
      </c>
      <c r="M997" s="1">
        <v>29</v>
      </c>
      <c r="N997" s="1" t="s">
        <v>6</v>
      </c>
      <c r="O997" s="1" t="s">
        <v>1024</v>
      </c>
      <c r="P997" s="3" t="str">
        <f>HYPERLINK("http://dx.doi.org/10.29393/At525-1JFMC10001","http://dx.doi.org/10.29393/At525-1JFMC10001")</f>
        <v>http://dx.doi.org/10.29393/At525-1JFMC10001</v>
      </c>
    </row>
    <row r="998" spans="1:16" ht="15.75" customHeight="1">
      <c r="A998" s="1" t="s">
        <v>0</v>
      </c>
      <c r="B998" s="1" t="s">
        <v>2627</v>
      </c>
      <c r="C998" s="1" t="s">
        <v>2628</v>
      </c>
      <c r="D998" s="1" t="s">
        <v>154</v>
      </c>
      <c r="E998" s="1" t="s">
        <v>2629</v>
      </c>
      <c r="F998" s="1" t="s">
        <v>2630</v>
      </c>
      <c r="G998" s="1">
        <v>41</v>
      </c>
      <c r="H998" s="1">
        <v>0</v>
      </c>
      <c r="I998" s="1">
        <v>2022</v>
      </c>
      <c r="J998" s="1">
        <v>37</v>
      </c>
      <c r="K998" s="1">
        <v>1</v>
      </c>
      <c r="L998" s="1">
        <v>183</v>
      </c>
      <c r="M998" s="1">
        <v>202</v>
      </c>
      <c r="N998" s="1" t="s">
        <v>6</v>
      </c>
      <c r="O998" s="1" t="s">
        <v>2631</v>
      </c>
      <c r="P998" s="3" t="str">
        <f>HYPERLINK("http://dx.doi.org/10.4067/S0718-23762022000100183","http://dx.doi.org/10.4067/S0718-23762022000100183")</f>
        <v>http://dx.doi.org/10.4067/S0718-23762022000100183</v>
      </c>
    </row>
    <row r="999" spans="1:16" ht="15.75" customHeight="1">
      <c r="A999" s="1" t="s">
        <v>0</v>
      </c>
      <c r="B999" s="1" t="s">
        <v>5346</v>
      </c>
      <c r="C999" s="1" t="s">
        <v>5347</v>
      </c>
      <c r="D999" s="2" t="s">
        <v>5348</v>
      </c>
      <c r="E999" s="1" t="s">
        <v>5349</v>
      </c>
      <c r="F999" s="1" t="s">
        <v>5350</v>
      </c>
      <c r="G999" s="1">
        <v>25</v>
      </c>
      <c r="H999" s="1">
        <v>0</v>
      </c>
      <c r="I999" s="1">
        <v>2022</v>
      </c>
      <c r="J999" s="1">
        <v>32</v>
      </c>
      <c r="K999" s="1" t="s">
        <v>61</v>
      </c>
      <c r="O999" s="1" t="s">
        <v>5351</v>
      </c>
    </row>
    <row r="1000" spans="1:16" ht="15.75" customHeight="1">
      <c r="A1000" s="1" t="s">
        <v>0</v>
      </c>
      <c r="B1000" s="1" t="s">
        <v>2081</v>
      </c>
      <c r="C1000" s="1" t="s">
        <v>2082</v>
      </c>
      <c r="D1000" s="1" t="s">
        <v>1645</v>
      </c>
      <c r="E1000" s="1" t="s">
        <v>2083</v>
      </c>
      <c r="F1000" s="1" t="s">
        <v>2084</v>
      </c>
      <c r="G1000" s="1">
        <v>47</v>
      </c>
      <c r="H1000" s="1">
        <v>0</v>
      </c>
      <c r="I1000" s="1">
        <v>2022</v>
      </c>
      <c r="J1000" s="1">
        <v>107</v>
      </c>
      <c r="K1000" s="1">
        <v>1</v>
      </c>
      <c r="L1000" s="1">
        <v>89</v>
      </c>
      <c r="M1000" s="1">
        <v>119</v>
      </c>
      <c r="N1000" s="1" t="s">
        <v>6</v>
      </c>
      <c r="O1000" s="1" t="s">
        <v>2085</v>
      </c>
      <c r="P1000" s="3" t="str">
        <f>HYPERLINK("http://dx.doi.org/10.5565/rev/papers.2902","http://dx.doi.org/10.5565/rev/papers.2902")</f>
        <v>http://dx.doi.org/10.5565/rev/papers.2902</v>
      </c>
    </row>
    <row r="1001" spans="1:16" ht="15.75" customHeight="1">
      <c r="A1001" s="1" t="s">
        <v>0</v>
      </c>
      <c r="B1001" s="1" t="s">
        <v>227</v>
      </c>
      <c r="C1001" s="1" t="s">
        <v>228</v>
      </c>
      <c r="D1001" s="1" t="s">
        <v>229</v>
      </c>
      <c r="E1001" s="1" t="s">
        <v>230</v>
      </c>
      <c r="F1001" s="1" t="s">
        <v>231</v>
      </c>
      <c r="G1001" s="1">
        <v>57</v>
      </c>
      <c r="H1001" s="1">
        <v>0</v>
      </c>
      <c r="I1001" s="1">
        <v>2022</v>
      </c>
      <c r="J1001" s="1">
        <v>54</v>
      </c>
      <c r="K1001" s="1">
        <v>4</v>
      </c>
      <c r="L1001" s="1">
        <v>545</v>
      </c>
      <c r="M1001" s="1">
        <v>557</v>
      </c>
      <c r="N1001" s="1" t="s">
        <v>232</v>
      </c>
      <c r="O1001" s="1" t="s">
        <v>233</v>
      </c>
      <c r="P1001" s="3" t="str">
        <f>HYPERLINK("http://dx.doi.org/10.1017/S0021932021000389","http://dx.doi.org/10.1017/S0021932021000389")</f>
        <v>http://dx.doi.org/10.1017/S0021932021000389</v>
      </c>
    </row>
    <row r="1002" spans="1:16" ht="15.75" customHeight="1">
      <c r="A1002" s="1" t="s">
        <v>0</v>
      </c>
      <c r="B1002" s="1" t="s">
        <v>972</v>
      </c>
      <c r="C1002" s="1" t="s">
        <v>973</v>
      </c>
      <c r="D1002" s="1" t="s">
        <v>974</v>
      </c>
      <c r="E1002" s="1" t="s">
        <v>975</v>
      </c>
      <c r="F1002" s="1" t="s">
        <v>976</v>
      </c>
      <c r="G1002" s="1">
        <v>44</v>
      </c>
      <c r="H1002" s="1">
        <v>0</v>
      </c>
      <c r="I1002" s="1">
        <v>2022</v>
      </c>
      <c r="J1002" s="1">
        <v>19</v>
      </c>
      <c r="K1002" s="1">
        <v>36</v>
      </c>
      <c r="L1002" s="1">
        <v>207</v>
      </c>
      <c r="M1002" s="1">
        <v>238</v>
      </c>
      <c r="N1002" s="1" t="s">
        <v>6</v>
      </c>
      <c r="O1002" s="1" t="s">
        <v>977</v>
      </c>
      <c r="P1002" s="3" t="str">
        <f>HYPERLINK("http://dx.doi.org/10.17230/co-herencia.19.36.8","http://dx.doi.org/10.17230/co-herencia.19.36.8")</f>
        <v>http://dx.doi.org/10.17230/co-herencia.19.36.8</v>
      </c>
    </row>
    <row r="1003" spans="1:16" ht="15.75" customHeight="1">
      <c r="A1003" s="1" t="s">
        <v>0</v>
      </c>
      <c r="B1003" s="1" t="s">
        <v>895</v>
      </c>
      <c r="C1003" s="1" t="s">
        <v>896</v>
      </c>
      <c r="D1003" s="1" t="s">
        <v>897</v>
      </c>
      <c r="G1003" s="1">
        <v>14</v>
      </c>
      <c r="H1003" s="1">
        <v>0</v>
      </c>
      <c r="I1003" s="1">
        <v>2022</v>
      </c>
      <c r="J1003" s="1">
        <v>67</v>
      </c>
      <c r="K1003" s="1" t="s">
        <v>898</v>
      </c>
      <c r="O1003" s="1" t="s">
        <v>899</v>
      </c>
    </row>
    <row r="1004" spans="1:16" ht="15.75" customHeight="1">
      <c r="A1004" s="1" t="s">
        <v>10</v>
      </c>
      <c r="B1004" s="1" t="s">
        <v>1765</v>
      </c>
      <c r="C1004" s="1" t="s">
        <v>1766</v>
      </c>
      <c r="D1004" s="1" t="s">
        <v>76</v>
      </c>
      <c r="F1004" s="1" t="s">
        <v>1767</v>
      </c>
      <c r="H1004" s="1">
        <v>0</v>
      </c>
      <c r="I1004" s="1">
        <v>2022</v>
      </c>
      <c r="J1004" s="1">
        <v>35</v>
      </c>
      <c r="K1004" s="1">
        <v>3</v>
      </c>
      <c r="O1004" s="1" t="s">
        <v>1768</v>
      </c>
    </row>
    <row r="1005" spans="1:16" ht="15.75" customHeight="1">
      <c r="A1005" s="1" t="s">
        <v>0</v>
      </c>
      <c r="B1005" s="1" t="s">
        <v>2235</v>
      </c>
      <c r="C1005" s="1" t="s">
        <v>2236</v>
      </c>
      <c r="D1005" s="1" t="s">
        <v>264</v>
      </c>
      <c r="E1005" s="1" t="s">
        <v>2237</v>
      </c>
      <c r="F1005" s="1" t="s">
        <v>2238</v>
      </c>
      <c r="G1005" s="1">
        <v>96</v>
      </c>
      <c r="H1005" s="1">
        <v>12</v>
      </c>
      <c r="I1005" s="1">
        <v>2023</v>
      </c>
      <c r="J1005" s="1">
        <v>49</v>
      </c>
      <c r="K1005" s="1">
        <v>10</v>
      </c>
      <c r="L1005" s="1">
        <v>2561</v>
      </c>
      <c r="M1005" s="1">
        <v>2581</v>
      </c>
      <c r="N1005" s="1" t="s">
        <v>6</v>
      </c>
      <c r="O1005" s="1" t="s">
        <v>2239</v>
      </c>
      <c r="P1005" s="3" t="str">
        <f>HYPERLINK("http://dx.doi.org/10.1080/1369183X.2023.2182714","http://dx.doi.org/10.1080/1369183X.2023.2182714")</f>
        <v>http://dx.doi.org/10.1080/1369183X.2023.2182714</v>
      </c>
    </row>
    <row r="1006" spans="1:16" ht="15.75" customHeight="1">
      <c r="A1006" s="1" t="s">
        <v>10</v>
      </c>
      <c r="B1006" s="1" t="s">
        <v>6452</v>
      </c>
      <c r="C1006" s="1" t="s">
        <v>6453</v>
      </c>
      <c r="D1006" s="1" t="s">
        <v>848</v>
      </c>
      <c r="E1006" s="1" t="s">
        <v>6454</v>
      </c>
      <c r="F1006" s="1" t="s">
        <v>6455</v>
      </c>
      <c r="H1006" s="1">
        <v>10</v>
      </c>
      <c r="I1006" s="1">
        <v>2023</v>
      </c>
      <c r="J1006" s="1">
        <v>133</v>
      </c>
      <c r="O1006" s="1" t="s">
        <v>6456</v>
      </c>
    </row>
    <row r="1007" spans="1:16" ht="15.75" customHeight="1">
      <c r="A1007" s="1" t="s">
        <v>0</v>
      </c>
      <c r="B1007" s="1" t="s">
        <v>262</v>
      </c>
      <c r="C1007" s="1" t="s">
        <v>263</v>
      </c>
      <c r="D1007" s="1" t="s">
        <v>264</v>
      </c>
      <c r="E1007" s="1" t="s">
        <v>265</v>
      </c>
      <c r="F1007" s="1" t="s">
        <v>266</v>
      </c>
      <c r="G1007" s="1">
        <v>71</v>
      </c>
      <c r="H1007" s="1">
        <v>8</v>
      </c>
      <c r="I1007" s="1">
        <v>2023</v>
      </c>
      <c r="J1007" s="1">
        <v>49</v>
      </c>
      <c r="K1007" s="1">
        <v>10</v>
      </c>
      <c r="L1007" s="1">
        <v>2541</v>
      </c>
      <c r="M1007" s="1">
        <v>2560</v>
      </c>
      <c r="N1007" s="1" t="s">
        <v>6</v>
      </c>
      <c r="O1007" s="1" t="s">
        <v>267</v>
      </c>
      <c r="P1007" s="3" t="str">
        <f>HYPERLINK("http://dx.doi.org/10.1080/1369183X.2023.2182713","http://dx.doi.org/10.1080/1369183X.2023.2182713")</f>
        <v>http://dx.doi.org/10.1080/1369183X.2023.2182713</v>
      </c>
    </row>
    <row r="1008" spans="1:16" ht="15.75" customHeight="1">
      <c r="A1008" s="1" t="s">
        <v>10</v>
      </c>
      <c r="B1008" s="1" t="s">
        <v>404</v>
      </c>
      <c r="C1008" s="1" t="s">
        <v>405</v>
      </c>
      <c r="D1008" s="1" t="s">
        <v>406</v>
      </c>
      <c r="E1008" s="1" t="s">
        <v>407</v>
      </c>
      <c r="F1008" s="1" t="s">
        <v>408</v>
      </c>
      <c r="H1008" s="1">
        <v>7</v>
      </c>
      <c r="I1008" s="1">
        <v>2023</v>
      </c>
      <c r="J1008" s="1">
        <v>17</v>
      </c>
      <c r="K1008" s="1">
        <v>1</v>
      </c>
      <c r="O1008" s="1" t="s">
        <v>409</v>
      </c>
    </row>
    <row r="1009" spans="1:16" ht="15.75" customHeight="1">
      <c r="A1009" s="1" t="s">
        <v>0</v>
      </c>
      <c r="B1009" s="1" t="s">
        <v>801</v>
      </c>
      <c r="C1009" s="1" t="s">
        <v>807</v>
      </c>
      <c r="D1009" s="1" t="s">
        <v>808</v>
      </c>
      <c r="E1009" s="1" t="s">
        <v>809</v>
      </c>
      <c r="F1009" s="1" t="s">
        <v>810</v>
      </c>
      <c r="G1009" s="1">
        <v>51</v>
      </c>
      <c r="H1009" s="1">
        <v>7</v>
      </c>
      <c r="I1009" s="1">
        <v>2023</v>
      </c>
      <c r="J1009" s="1">
        <v>18</v>
      </c>
      <c r="K1009" s="1">
        <v>2</v>
      </c>
      <c r="L1009" s="1">
        <v>227</v>
      </c>
      <c r="M1009" s="1">
        <v>243</v>
      </c>
      <c r="N1009" s="1" t="s">
        <v>6</v>
      </c>
      <c r="O1009" s="1" t="s">
        <v>811</v>
      </c>
      <c r="P1009" s="3" t="str">
        <f>HYPERLINK("http://dx.doi.org/10.1080/17442222.2022.2099170","http://dx.doi.org/10.1080/17442222.2022.2099170")</f>
        <v>http://dx.doi.org/10.1080/17442222.2022.2099170</v>
      </c>
    </row>
    <row r="1010" spans="1:16" ht="15.75" customHeight="1">
      <c r="A1010" s="1" t="s">
        <v>10</v>
      </c>
      <c r="B1010" s="1" t="s">
        <v>1402</v>
      </c>
      <c r="C1010" s="1" t="s">
        <v>1403</v>
      </c>
      <c r="D1010" s="1" t="s">
        <v>1404</v>
      </c>
      <c r="E1010" s="1" t="s">
        <v>1405</v>
      </c>
      <c r="F1010" s="1" t="s">
        <v>1406</v>
      </c>
      <c r="H1010" s="1">
        <v>6</v>
      </c>
      <c r="I1010" s="1">
        <v>2023</v>
      </c>
      <c r="J1010" s="1">
        <v>12</v>
      </c>
      <c r="K1010" s="1">
        <v>2</v>
      </c>
      <c r="O1010" s="1" t="s">
        <v>1407</v>
      </c>
    </row>
    <row r="1011" spans="1:16" ht="15.75" customHeight="1">
      <c r="A1011" s="1" t="s">
        <v>0</v>
      </c>
      <c r="B1011" s="1" t="s">
        <v>1780</v>
      </c>
      <c r="C1011" s="1" t="s">
        <v>1781</v>
      </c>
      <c r="D1011" s="1" t="s">
        <v>1782</v>
      </c>
      <c r="E1011" s="1" t="s">
        <v>1783</v>
      </c>
      <c r="F1011" s="1" t="s">
        <v>1784</v>
      </c>
      <c r="G1011" s="1">
        <v>68</v>
      </c>
      <c r="H1011" s="1">
        <v>6</v>
      </c>
      <c r="I1011" s="1">
        <v>2023</v>
      </c>
      <c r="J1011" s="1">
        <v>22</v>
      </c>
      <c r="K1011" s="1">
        <v>1</v>
      </c>
      <c r="L1011" s="1">
        <v>119</v>
      </c>
      <c r="M1011" s="1">
        <v>142</v>
      </c>
      <c r="N1011" s="1" t="s">
        <v>6</v>
      </c>
      <c r="O1011" s="1" t="s">
        <v>1785</v>
      </c>
      <c r="P1011" s="3" t="str">
        <f>HYPERLINK("http://dx.doi.org/10.1057/s41304-022-00403-8","http://dx.doi.org/10.1057/s41304-022-00403-8")</f>
        <v>http://dx.doi.org/10.1057/s41304-022-00403-8</v>
      </c>
    </row>
    <row r="1012" spans="1:16" ht="15.75" customHeight="1">
      <c r="A1012" s="1" t="s">
        <v>0</v>
      </c>
      <c r="B1012" s="1" t="s">
        <v>2190</v>
      </c>
      <c r="C1012" s="1" t="s">
        <v>2191</v>
      </c>
      <c r="D1012" s="1" t="s">
        <v>264</v>
      </c>
      <c r="E1012" s="1" t="s">
        <v>2192</v>
      </c>
      <c r="F1012" s="1" t="s">
        <v>2193</v>
      </c>
      <c r="G1012" s="1">
        <v>72</v>
      </c>
      <c r="H1012" s="1">
        <v>5</v>
      </c>
      <c r="I1012" s="1">
        <v>2023</v>
      </c>
      <c r="J1012" s="1">
        <v>49</v>
      </c>
      <c r="K1012" s="1">
        <v>7</v>
      </c>
      <c r="L1012" s="1">
        <v>1881</v>
      </c>
      <c r="M1012" s="1">
        <v>1897</v>
      </c>
      <c r="N1012" s="1" t="s">
        <v>6</v>
      </c>
      <c r="O1012" s="1" t="s">
        <v>2194</v>
      </c>
      <c r="P1012" s="3" t="str">
        <f>HYPERLINK("http://dx.doi.org/10.1080/1369183X.2021.1951688","http://dx.doi.org/10.1080/1369183X.2021.1951688")</f>
        <v>http://dx.doi.org/10.1080/1369183X.2021.1951688</v>
      </c>
    </row>
    <row r="1013" spans="1:16" ht="15.75" customHeight="1">
      <c r="A1013" s="1" t="s">
        <v>0</v>
      </c>
      <c r="B1013" s="1" t="s">
        <v>5945</v>
      </c>
      <c r="C1013" s="1" t="s">
        <v>5946</v>
      </c>
      <c r="D1013" s="1" t="s">
        <v>5947</v>
      </c>
      <c r="E1013" s="1" t="s">
        <v>5948</v>
      </c>
      <c r="F1013" s="1" t="s">
        <v>5949</v>
      </c>
      <c r="G1013" s="1">
        <v>59</v>
      </c>
      <c r="H1013" s="1">
        <v>4</v>
      </c>
      <c r="I1013" s="1">
        <v>2023</v>
      </c>
      <c r="J1013" s="1">
        <v>75</v>
      </c>
      <c r="K1013" s="1">
        <v>2</v>
      </c>
      <c r="L1013" s="1">
        <v>305</v>
      </c>
      <c r="M1013" s="1">
        <v>315</v>
      </c>
      <c r="N1013" s="1" t="s">
        <v>6</v>
      </c>
      <c r="O1013" s="1" t="s">
        <v>5950</v>
      </c>
      <c r="P1013" s="3" t="str">
        <f>HYPERLINK("http://dx.doi.org/10.1080/00330124.2021.2014907","http://dx.doi.org/10.1080/00330124.2021.2014907")</f>
        <v>http://dx.doi.org/10.1080/00330124.2021.2014907</v>
      </c>
    </row>
    <row r="1014" spans="1:16" ht="15.75" customHeight="1">
      <c r="A1014" s="1" t="s">
        <v>0</v>
      </c>
      <c r="B1014" s="1" t="s">
        <v>2364</v>
      </c>
      <c r="C1014" s="1" t="s">
        <v>2365</v>
      </c>
      <c r="D1014" s="1" t="s">
        <v>2366</v>
      </c>
      <c r="E1014" s="1" t="s">
        <v>2367</v>
      </c>
      <c r="F1014" s="1" t="s">
        <v>2368</v>
      </c>
      <c r="G1014" s="1">
        <v>43</v>
      </c>
      <c r="H1014" s="1">
        <v>4</v>
      </c>
      <c r="I1014" s="1">
        <v>2023</v>
      </c>
      <c r="J1014" s="1">
        <v>34</v>
      </c>
      <c r="K1014" s="1">
        <v>2</v>
      </c>
      <c r="L1014" s="1">
        <v>234</v>
      </c>
      <c r="M1014" s="1">
        <v>259</v>
      </c>
      <c r="N1014" s="1" t="s">
        <v>6</v>
      </c>
      <c r="O1014" s="1" t="s">
        <v>2369</v>
      </c>
      <c r="P1014" s="3" t="str">
        <f>HYPERLINK("http://dx.doi.org/10.1080/02757206.2020.1862106","http://dx.doi.org/10.1080/02757206.2020.1862106")</f>
        <v>http://dx.doi.org/10.1080/02757206.2020.1862106</v>
      </c>
    </row>
    <row r="1015" spans="1:16" ht="15.75" customHeight="1">
      <c r="A1015" s="1" t="s">
        <v>0</v>
      </c>
      <c r="B1015" s="1" t="s">
        <v>6350</v>
      </c>
      <c r="C1015" s="1" t="s">
        <v>6354</v>
      </c>
      <c r="D1015" s="1" t="s">
        <v>3911</v>
      </c>
      <c r="E1015" s="1" t="s">
        <v>6355</v>
      </c>
      <c r="F1015" s="1" t="s">
        <v>6356</v>
      </c>
      <c r="G1015" s="1">
        <v>92</v>
      </c>
      <c r="H1015" s="1">
        <v>4</v>
      </c>
      <c r="I1015" s="1">
        <v>2023</v>
      </c>
      <c r="J1015" s="1">
        <v>38</v>
      </c>
      <c r="K1015" s="1">
        <v>3</v>
      </c>
      <c r="L1015" s="1">
        <v>441</v>
      </c>
      <c r="M1015" s="1">
        <v>459</v>
      </c>
      <c r="N1015" s="1" t="s">
        <v>6</v>
      </c>
      <c r="O1015" s="1" t="s">
        <v>6357</v>
      </c>
      <c r="P1015" s="3" t="str">
        <f>HYPERLINK("http://dx.doi.org/10.1080/08865655.2021.1948897","http://dx.doi.org/10.1080/08865655.2021.1948897")</f>
        <v>http://dx.doi.org/10.1080/08865655.2021.1948897</v>
      </c>
    </row>
    <row r="1016" spans="1:16" ht="15.75" customHeight="1">
      <c r="A1016" s="1" t="s">
        <v>10</v>
      </c>
      <c r="B1016" s="1" t="s">
        <v>6961</v>
      </c>
      <c r="C1016" s="1" t="s">
        <v>6962</v>
      </c>
      <c r="D1016" s="1" t="s">
        <v>2797</v>
      </c>
      <c r="E1016" s="1" t="s">
        <v>6963</v>
      </c>
      <c r="F1016" s="1" t="s">
        <v>6964</v>
      </c>
      <c r="H1016" s="1">
        <v>4</v>
      </c>
      <c r="I1016" s="1">
        <v>2023</v>
      </c>
      <c r="J1016" s="1">
        <v>29</v>
      </c>
      <c r="K1016" s="1">
        <v>1</v>
      </c>
      <c r="O1016" s="1" t="s">
        <v>6965</v>
      </c>
    </row>
    <row r="1017" spans="1:16" ht="15.75" customHeight="1">
      <c r="A1017" s="1" t="s">
        <v>0</v>
      </c>
      <c r="B1017" s="1" t="s">
        <v>1177</v>
      </c>
      <c r="C1017" s="1" t="s">
        <v>1178</v>
      </c>
      <c r="D1017" s="1" t="s">
        <v>1179</v>
      </c>
      <c r="E1017" s="1" t="s">
        <v>1180</v>
      </c>
      <c r="F1017" s="1" t="s">
        <v>1181</v>
      </c>
      <c r="G1017" s="1">
        <v>78</v>
      </c>
      <c r="H1017" s="1">
        <v>4</v>
      </c>
      <c r="I1017" s="1">
        <v>2023</v>
      </c>
      <c r="J1017" s="1">
        <v>7</v>
      </c>
      <c r="K1017" s="1" t="s">
        <v>6</v>
      </c>
      <c r="L1017" s="1" t="s">
        <v>6</v>
      </c>
      <c r="M1017" s="1" t="s">
        <v>6</v>
      </c>
      <c r="N1017" s="1">
        <v>1009567</v>
      </c>
      <c r="O1017" s="1" t="s">
        <v>1182</v>
      </c>
      <c r="P1017" s="3" t="str">
        <f>HYPERLINK("http://dx.doi.org/10.3389/fsoc.2022.1009567","http://dx.doi.org/10.3389/fsoc.2022.1009567")</f>
        <v>http://dx.doi.org/10.3389/fsoc.2022.1009567</v>
      </c>
    </row>
    <row r="1018" spans="1:16" ht="15.75" customHeight="1">
      <c r="A1018" s="1" t="s">
        <v>0</v>
      </c>
      <c r="B1018" s="1" t="s">
        <v>1144</v>
      </c>
      <c r="C1018" s="1" t="s">
        <v>1145</v>
      </c>
      <c r="D1018" s="1" t="s">
        <v>1146</v>
      </c>
      <c r="E1018" s="1" t="s">
        <v>1147</v>
      </c>
      <c r="F1018" s="1" t="s">
        <v>1148</v>
      </c>
      <c r="G1018" s="1">
        <v>107</v>
      </c>
      <c r="H1018" s="1">
        <v>4</v>
      </c>
      <c r="I1018" s="1">
        <v>2023</v>
      </c>
      <c r="J1018" s="1">
        <v>14</v>
      </c>
      <c r="K1018" s="1" t="s">
        <v>6</v>
      </c>
      <c r="L1018" s="1" t="s">
        <v>6</v>
      </c>
      <c r="M1018" s="1" t="s">
        <v>6</v>
      </c>
      <c r="N1018" s="1">
        <v>1122362</v>
      </c>
      <c r="O1018" s="1" t="s">
        <v>1149</v>
      </c>
      <c r="P1018" s="3" t="str">
        <f>HYPERLINK("http://dx.doi.org/10.3389/fpsyg.2023.1122362","http://dx.doi.org/10.3389/fpsyg.2023.1122362")</f>
        <v>http://dx.doi.org/10.3389/fpsyg.2023.1122362</v>
      </c>
    </row>
    <row r="1019" spans="1:16" ht="15.75" customHeight="1">
      <c r="A1019" s="1" t="s">
        <v>0</v>
      </c>
      <c r="B1019" s="1" t="s">
        <v>7053</v>
      </c>
      <c r="C1019" s="1" t="s">
        <v>7054</v>
      </c>
      <c r="D1019" s="1" t="s">
        <v>1904</v>
      </c>
      <c r="E1019" s="1" t="s">
        <v>7055</v>
      </c>
      <c r="F1019" s="1" t="s">
        <v>7056</v>
      </c>
      <c r="G1019" s="1">
        <v>59</v>
      </c>
      <c r="H1019" s="1">
        <v>4</v>
      </c>
      <c r="I1019" s="1">
        <v>2023</v>
      </c>
      <c r="J1019" s="1">
        <v>21</v>
      </c>
      <c r="K1019" s="1">
        <v>3</v>
      </c>
      <c r="L1019" s="1">
        <v>335</v>
      </c>
      <c r="M1019" s="1">
        <v>348</v>
      </c>
      <c r="N1019" s="1" t="s">
        <v>6</v>
      </c>
      <c r="O1019" s="1" t="s">
        <v>7057</v>
      </c>
      <c r="P1019" s="3" t="str">
        <f>HYPERLINK("http://dx.doi.org/10.1080/15562948.2021.1980642","http://dx.doi.org/10.1080/15562948.2021.1980642")</f>
        <v>http://dx.doi.org/10.1080/15562948.2021.1980642</v>
      </c>
    </row>
    <row r="1020" spans="1:16" ht="15.75" customHeight="1">
      <c r="A1020" s="1" t="s">
        <v>0</v>
      </c>
      <c r="B1020" s="1" t="s">
        <v>4721</v>
      </c>
      <c r="C1020" s="1" t="s">
        <v>4722</v>
      </c>
      <c r="D1020" s="1" t="s">
        <v>4723</v>
      </c>
      <c r="E1020" s="1" t="s">
        <v>4724</v>
      </c>
      <c r="F1020" s="1" t="s">
        <v>4725</v>
      </c>
      <c r="G1020" s="1">
        <v>118</v>
      </c>
      <c r="H1020" s="1">
        <v>3</v>
      </c>
      <c r="I1020" s="1">
        <v>2023</v>
      </c>
      <c r="J1020" s="1">
        <v>72</v>
      </c>
      <c r="K1020" s="1">
        <v>2</v>
      </c>
      <c r="L1020" s="1">
        <v>389</v>
      </c>
      <c r="M1020" s="1">
        <v>405</v>
      </c>
      <c r="N1020" s="1" t="s">
        <v>6</v>
      </c>
      <c r="O1020" s="1" t="s">
        <v>4726</v>
      </c>
      <c r="P1020" s="3" t="str">
        <f>HYPERLINK("http://dx.doi.org/10.1111/fare.12865","http://dx.doi.org/10.1111/fare.12865")</f>
        <v>http://dx.doi.org/10.1111/fare.12865</v>
      </c>
    </row>
    <row r="1021" spans="1:16" ht="15.75" customHeight="1">
      <c r="A1021" s="1" t="s">
        <v>10</v>
      </c>
      <c r="B1021" s="1" t="s">
        <v>5341</v>
      </c>
      <c r="C1021" s="1" t="s">
        <v>5342</v>
      </c>
      <c r="D1021" s="1" t="s">
        <v>3905</v>
      </c>
      <c r="E1021" s="1" t="s">
        <v>5343</v>
      </c>
      <c r="F1021" s="1" t="s">
        <v>5344</v>
      </c>
      <c r="H1021" s="1">
        <v>3</v>
      </c>
      <c r="I1021" s="1">
        <v>2023</v>
      </c>
      <c r="J1021" s="1">
        <v>6</v>
      </c>
      <c r="K1021" s="1">
        <v>1</v>
      </c>
      <c r="O1021" s="1" t="s">
        <v>5345</v>
      </c>
    </row>
    <row r="1022" spans="1:16" ht="15.75" customHeight="1">
      <c r="A1022" s="1" t="s">
        <v>0</v>
      </c>
      <c r="B1022" s="1" t="s">
        <v>866</v>
      </c>
      <c r="C1022" s="1" t="s">
        <v>867</v>
      </c>
      <c r="D1022" s="1" t="s">
        <v>264</v>
      </c>
      <c r="E1022" s="1" t="s">
        <v>868</v>
      </c>
      <c r="F1022" s="1" t="s">
        <v>869</v>
      </c>
      <c r="G1022" s="1">
        <v>45</v>
      </c>
      <c r="H1022" s="1">
        <v>3</v>
      </c>
      <c r="I1022" s="1">
        <v>2023</v>
      </c>
      <c r="J1022" s="1">
        <v>49</v>
      </c>
      <c r="K1022" s="1">
        <v>3</v>
      </c>
      <c r="L1022" s="1">
        <v>892</v>
      </c>
      <c r="M1022" s="1">
        <v>908</v>
      </c>
      <c r="N1022" s="1" t="s">
        <v>6</v>
      </c>
      <c r="O1022" s="1" t="s">
        <v>870</v>
      </c>
      <c r="P1022" s="3" t="str">
        <f>HYPERLINK("http://dx.doi.org/10.1080/1369183X.2020.1814711","http://dx.doi.org/10.1080/1369183X.2020.1814711")</f>
        <v>http://dx.doi.org/10.1080/1369183X.2020.1814711</v>
      </c>
    </row>
    <row r="1023" spans="1:16" ht="15.75" customHeight="1">
      <c r="A1023" s="1" t="s">
        <v>0</v>
      </c>
      <c r="B1023" s="1" t="s">
        <v>4727</v>
      </c>
      <c r="C1023" s="1" t="s">
        <v>4728</v>
      </c>
      <c r="D1023" s="1" t="s">
        <v>4729</v>
      </c>
      <c r="E1023" s="1" t="s">
        <v>4730</v>
      </c>
      <c r="F1023" s="1" t="s">
        <v>4731</v>
      </c>
      <c r="G1023" s="1">
        <v>50</v>
      </c>
      <c r="H1023" s="1">
        <v>3</v>
      </c>
      <c r="I1023" s="1">
        <v>2023</v>
      </c>
      <c r="J1023" s="1">
        <v>32</v>
      </c>
      <c r="K1023" s="1" t="s">
        <v>6</v>
      </c>
      <c r="L1023" s="1" t="s">
        <v>6</v>
      </c>
      <c r="M1023" s="1" t="s">
        <v>6</v>
      </c>
      <c r="N1023" s="1">
        <v>100418</v>
      </c>
      <c r="O1023" s="1" t="s">
        <v>4732</v>
      </c>
      <c r="P1023" s="3" t="str">
        <f>HYPERLINK("http://dx.doi.org/10.1016/j.jhlste.2023.100418","http://dx.doi.org/10.1016/j.jhlste.2023.100418")</f>
        <v>http://dx.doi.org/10.1016/j.jhlste.2023.100418</v>
      </c>
    </row>
    <row r="1024" spans="1:16" ht="15.75" customHeight="1">
      <c r="A1024" s="1" t="s">
        <v>0</v>
      </c>
      <c r="B1024" s="1" t="s">
        <v>5674</v>
      </c>
      <c r="C1024" s="1" t="s">
        <v>5675</v>
      </c>
      <c r="D1024" s="1" t="s">
        <v>5676</v>
      </c>
      <c r="E1024" s="1" t="s">
        <v>5677</v>
      </c>
      <c r="F1024" s="1" t="s">
        <v>5678</v>
      </c>
      <c r="G1024" s="1">
        <v>111</v>
      </c>
      <c r="H1024" s="1">
        <v>3</v>
      </c>
      <c r="I1024" s="1">
        <v>2023</v>
      </c>
      <c r="J1024" s="1">
        <v>105</v>
      </c>
      <c r="K1024" s="1">
        <v>1</v>
      </c>
      <c r="L1024" s="1">
        <v>58</v>
      </c>
      <c r="M1024" s="1">
        <v>78</v>
      </c>
      <c r="N1024" s="1" t="s">
        <v>6</v>
      </c>
      <c r="O1024" s="1" t="s">
        <v>5679</v>
      </c>
      <c r="P1024" s="3" t="str">
        <f>HYPERLINK("http://dx.doi.org/10.1080/04353684.2022.2082312","http://dx.doi.org/10.1080/04353684.2022.2082312")</f>
        <v>http://dx.doi.org/10.1080/04353684.2022.2082312</v>
      </c>
    </row>
    <row r="1025" spans="1:16" ht="15.75" customHeight="1">
      <c r="A1025" s="1" t="s">
        <v>0</v>
      </c>
      <c r="B1025" s="1" t="s">
        <v>1</v>
      </c>
      <c r="C1025" s="2" t="s">
        <v>14</v>
      </c>
      <c r="D1025" s="1" t="s">
        <v>15</v>
      </c>
      <c r="E1025" s="1" t="s">
        <v>16</v>
      </c>
      <c r="F1025" s="1" t="s">
        <v>17</v>
      </c>
      <c r="G1025" s="1">
        <v>76</v>
      </c>
      <c r="H1025" s="1">
        <v>3</v>
      </c>
      <c r="I1025" s="1">
        <v>2023</v>
      </c>
      <c r="J1025" s="1" t="s">
        <v>6</v>
      </c>
      <c r="K1025" s="1" t="s">
        <v>6</v>
      </c>
      <c r="L1025" s="1" t="s">
        <v>6</v>
      </c>
      <c r="M1025" s="1" t="s">
        <v>6</v>
      </c>
      <c r="N1025" s="1" t="s">
        <v>6</v>
      </c>
      <c r="O1025" s="1" t="s">
        <v>18</v>
      </c>
      <c r="P1025" s="3" t="str">
        <f>HYPERLINK("http://dx.doi.org/10.1177/01622439231167665","http://dx.doi.org/10.1177/01622439231167665")</f>
        <v>http://dx.doi.org/10.1177/01622439231167665</v>
      </c>
    </row>
    <row r="1026" spans="1:16" ht="15.75" customHeight="1">
      <c r="A1026" s="1" t="s">
        <v>0</v>
      </c>
      <c r="B1026" s="1" t="s">
        <v>6611</v>
      </c>
      <c r="C1026" s="1" t="s">
        <v>6612</v>
      </c>
      <c r="D1026" s="1" t="s">
        <v>3209</v>
      </c>
      <c r="E1026" s="1" t="s">
        <v>6613</v>
      </c>
      <c r="F1026" s="1" t="s">
        <v>6614</v>
      </c>
      <c r="G1026" s="1">
        <v>69</v>
      </c>
      <c r="H1026" s="1">
        <v>3</v>
      </c>
      <c r="I1026" s="1">
        <v>2023</v>
      </c>
      <c r="J1026" s="1">
        <v>11</v>
      </c>
      <c r="K1026" s="1">
        <v>4</v>
      </c>
      <c r="L1026" s="1" t="s">
        <v>6</v>
      </c>
      <c r="M1026" s="1" t="s">
        <v>6</v>
      </c>
      <c r="N1026" s="1">
        <v>503</v>
      </c>
      <c r="O1026" s="1" t="s">
        <v>6615</v>
      </c>
      <c r="P1026" s="3" t="str">
        <f>HYPERLINK("http://dx.doi.org/10.3390/healthcare11040503","http://dx.doi.org/10.3390/healthcare11040503")</f>
        <v>http://dx.doi.org/10.3390/healthcare11040503</v>
      </c>
    </row>
    <row r="1027" spans="1:16" ht="15.75" customHeight="1">
      <c r="A1027" s="1" t="s">
        <v>0</v>
      </c>
      <c r="B1027" s="1" t="s">
        <v>2861</v>
      </c>
      <c r="C1027" s="1" t="s">
        <v>2866</v>
      </c>
      <c r="D1027" s="1" t="s">
        <v>1325</v>
      </c>
      <c r="E1027" s="1" t="s">
        <v>2867</v>
      </c>
      <c r="F1027" s="1" t="s">
        <v>2868</v>
      </c>
      <c r="G1027" s="1">
        <v>109</v>
      </c>
      <c r="H1027" s="1">
        <v>3</v>
      </c>
      <c r="I1027" s="1">
        <v>2023</v>
      </c>
      <c r="J1027" s="1">
        <v>24</v>
      </c>
      <c r="K1027" s="1">
        <v>3</v>
      </c>
      <c r="L1027" s="1">
        <v>1113</v>
      </c>
      <c r="M1027" s="1">
        <v>1135</v>
      </c>
      <c r="N1027" s="1" t="s">
        <v>6</v>
      </c>
      <c r="O1027" s="1" t="s">
        <v>2869</v>
      </c>
      <c r="P1027" s="3" t="str">
        <f>HYPERLINK("http://dx.doi.org/10.1007/s12134-022-00996-5","http://dx.doi.org/10.1007/s12134-022-00996-5")</f>
        <v>http://dx.doi.org/10.1007/s12134-022-00996-5</v>
      </c>
    </row>
    <row r="1028" spans="1:16" ht="15.75" customHeight="1">
      <c r="A1028" s="1" t="s">
        <v>10</v>
      </c>
      <c r="B1028" s="1" t="s">
        <v>6912</v>
      </c>
      <c r="C1028" s="1" t="s">
        <v>6913</v>
      </c>
      <c r="D1028" s="1" t="s">
        <v>760</v>
      </c>
      <c r="F1028" s="1" t="s">
        <v>6914</v>
      </c>
      <c r="H1028" s="1">
        <v>3</v>
      </c>
      <c r="I1028" s="1">
        <v>2023</v>
      </c>
      <c r="J1028" s="1">
        <v>49</v>
      </c>
      <c r="K1028" s="1">
        <v>10</v>
      </c>
      <c r="O1028" s="1" t="s">
        <v>6915</v>
      </c>
    </row>
    <row r="1029" spans="1:16" ht="15.75" customHeight="1">
      <c r="A1029" s="1" t="s">
        <v>10</v>
      </c>
      <c r="B1029" s="1" t="s">
        <v>2823</v>
      </c>
      <c r="C1029" s="1" t="s">
        <v>2824</v>
      </c>
      <c r="D1029" s="1" t="s">
        <v>2825</v>
      </c>
      <c r="E1029" s="1" t="s">
        <v>2826</v>
      </c>
      <c r="F1029" s="1" t="s">
        <v>2827</v>
      </c>
      <c r="H1029" s="1">
        <v>2</v>
      </c>
      <c r="I1029" s="1">
        <v>2023</v>
      </c>
      <c r="J1029" s="1">
        <v>44</v>
      </c>
      <c r="K1029" s="1">
        <v>2</v>
      </c>
      <c r="O1029" s="1" t="s">
        <v>2828</v>
      </c>
    </row>
    <row r="1030" spans="1:16" ht="15.75" customHeight="1">
      <c r="A1030" s="1" t="s">
        <v>0</v>
      </c>
      <c r="B1030" s="1" t="s">
        <v>6542</v>
      </c>
      <c r="C1030" s="1" t="s">
        <v>6543</v>
      </c>
      <c r="D1030" s="1" t="s">
        <v>639</v>
      </c>
      <c r="E1030" s="1" t="s">
        <v>6544</v>
      </c>
      <c r="F1030" s="1" t="s">
        <v>6545</v>
      </c>
      <c r="G1030" s="1">
        <v>94</v>
      </c>
      <c r="H1030" s="1">
        <v>2</v>
      </c>
      <c r="I1030" s="1">
        <v>2023</v>
      </c>
      <c r="K1030" s="1" t="s">
        <v>6546</v>
      </c>
      <c r="O1030" s="1" t="s">
        <v>6547</v>
      </c>
    </row>
    <row r="1031" spans="1:16" ht="15.75" customHeight="1">
      <c r="A1031" s="1" t="s">
        <v>10</v>
      </c>
      <c r="B1031" s="1" t="s">
        <v>4167</v>
      </c>
      <c r="C1031" s="1" t="s">
        <v>4168</v>
      </c>
      <c r="D1031" s="1" t="s">
        <v>4169</v>
      </c>
      <c r="E1031" s="1" t="s">
        <v>4170</v>
      </c>
      <c r="F1031" s="1" t="s">
        <v>4171</v>
      </c>
      <c r="H1031" s="1">
        <v>2</v>
      </c>
      <c r="I1031" s="1">
        <v>2023</v>
      </c>
      <c r="J1031" s="1">
        <v>5</v>
      </c>
      <c r="O1031" s="1" t="s">
        <v>4172</v>
      </c>
    </row>
    <row r="1032" spans="1:16" ht="15.75" customHeight="1">
      <c r="A1032" s="1" t="s">
        <v>10</v>
      </c>
      <c r="B1032" s="1" t="s">
        <v>6121</v>
      </c>
      <c r="C1032" s="1" t="s">
        <v>6122</v>
      </c>
      <c r="D1032" s="1" t="s">
        <v>3957</v>
      </c>
      <c r="E1032" s="1" t="s">
        <v>6123</v>
      </c>
      <c r="F1032" s="1" t="s">
        <v>6124</v>
      </c>
      <c r="H1032" s="1">
        <v>2</v>
      </c>
      <c r="I1032" s="1">
        <v>2023</v>
      </c>
      <c r="J1032" s="1">
        <v>44</v>
      </c>
      <c r="K1032" s="1">
        <v>3</v>
      </c>
      <c r="O1032" s="1" t="s">
        <v>6125</v>
      </c>
    </row>
    <row r="1033" spans="1:16" ht="15.75" customHeight="1">
      <c r="A1033" s="1" t="s">
        <v>10</v>
      </c>
      <c r="B1033" s="1" t="s">
        <v>3580</v>
      </c>
      <c r="C1033" s="1" t="s">
        <v>3581</v>
      </c>
      <c r="D1033" s="1" t="s">
        <v>858</v>
      </c>
      <c r="E1033" s="1" t="s">
        <v>3582</v>
      </c>
      <c r="F1033" s="1" t="s">
        <v>3583</v>
      </c>
      <c r="H1033" s="1">
        <v>2</v>
      </c>
      <c r="I1033" s="1">
        <v>2023</v>
      </c>
      <c r="J1033" s="1">
        <v>42</v>
      </c>
      <c r="K1033" s="1">
        <v>2</v>
      </c>
      <c r="O1033" s="1" t="s">
        <v>3584</v>
      </c>
    </row>
    <row r="1034" spans="1:16" ht="15.75" customHeight="1">
      <c r="A1034" s="1" t="s">
        <v>0</v>
      </c>
      <c r="B1034" s="1" t="s">
        <v>1338</v>
      </c>
      <c r="C1034" s="1" t="s">
        <v>1339</v>
      </c>
      <c r="D1034" s="1" t="s">
        <v>1340</v>
      </c>
      <c r="E1034" s="1" t="s">
        <v>1341</v>
      </c>
      <c r="F1034" s="1" t="s">
        <v>1342</v>
      </c>
      <c r="G1034" s="1">
        <v>32</v>
      </c>
      <c r="H1034" s="1">
        <v>2</v>
      </c>
      <c r="I1034" s="1">
        <v>2023</v>
      </c>
      <c r="J1034" s="1">
        <v>49</v>
      </c>
      <c r="K1034" s="1" t="s">
        <v>1343</v>
      </c>
      <c r="L1034" s="1">
        <v>707</v>
      </c>
      <c r="M1034" s="1">
        <v>723</v>
      </c>
      <c r="N1034" s="1">
        <v>8969205221100268</v>
      </c>
      <c r="O1034" s="1" t="s">
        <v>1344</v>
      </c>
      <c r="P1034" s="3" t="str">
        <f>HYPERLINK("http://dx.doi.org/10.1177/08969205221100268","http://dx.doi.org/10.1177/08969205221100268")</f>
        <v>http://dx.doi.org/10.1177/08969205221100268</v>
      </c>
    </row>
    <row r="1035" spans="1:16" ht="15.75" customHeight="1">
      <c r="A1035" s="1" t="s">
        <v>10</v>
      </c>
      <c r="B1035" s="1" t="s">
        <v>2789</v>
      </c>
      <c r="C1035" s="1" t="s">
        <v>2790</v>
      </c>
      <c r="D1035" s="1" t="s">
        <v>2791</v>
      </c>
      <c r="E1035" s="1" t="s">
        <v>2792</v>
      </c>
      <c r="F1035" s="1" t="s">
        <v>2793</v>
      </c>
      <c r="H1035" s="1">
        <v>2</v>
      </c>
      <c r="I1035" s="1">
        <v>2023</v>
      </c>
      <c r="J1035" s="1">
        <v>21</v>
      </c>
      <c r="K1035" s="1">
        <v>3</v>
      </c>
      <c r="O1035" s="1" t="s">
        <v>2794</v>
      </c>
    </row>
    <row r="1036" spans="1:16" ht="15.75" customHeight="1">
      <c r="A1036" s="1" t="s">
        <v>0</v>
      </c>
      <c r="B1036" s="1" t="s">
        <v>4263</v>
      </c>
      <c r="C1036" s="1" t="s">
        <v>4264</v>
      </c>
      <c r="D1036" s="1" t="s">
        <v>4265</v>
      </c>
      <c r="E1036" s="1" t="s">
        <v>4266</v>
      </c>
      <c r="F1036" s="1" t="s">
        <v>4267</v>
      </c>
      <c r="G1036" s="1">
        <v>44</v>
      </c>
      <c r="H1036" s="1">
        <v>2</v>
      </c>
      <c r="I1036" s="1">
        <v>2023</v>
      </c>
      <c r="J1036" s="1">
        <v>32</v>
      </c>
      <c r="K1036" s="1" t="s">
        <v>378</v>
      </c>
      <c r="O1036" s="1" t="s">
        <v>4268</v>
      </c>
    </row>
    <row r="1037" spans="1:16" ht="15.75" customHeight="1">
      <c r="A1037" s="1" t="s">
        <v>0</v>
      </c>
      <c r="B1037" s="1" t="s">
        <v>2818</v>
      </c>
      <c r="C1037" s="1" t="s">
        <v>2819</v>
      </c>
      <c r="D1037" s="1" t="s">
        <v>365</v>
      </c>
      <c r="E1037" s="1" t="s">
        <v>2820</v>
      </c>
      <c r="F1037" s="1" t="s">
        <v>2821</v>
      </c>
      <c r="G1037" s="1">
        <v>31</v>
      </c>
      <c r="H1037" s="1">
        <v>2</v>
      </c>
      <c r="I1037" s="1">
        <v>2023</v>
      </c>
      <c r="J1037" s="1">
        <v>28</v>
      </c>
      <c r="K1037" s="1">
        <v>7</v>
      </c>
      <c r="L1037" s="1">
        <v>599</v>
      </c>
      <c r="M1037" s="1">
        <v>615</v>
      </c>
      <c r="N1037" s="1" t="s">
        <v>6</v>
      </c>
      <c r="O1037" s="1" t="s">
        <v>2822</v>
      </c>
      <c r="P1037" s="3" t="str">
        <f>HYPERLINK("http://dx.doi.org/10.1080/15325024.2022.2141515","http://dx.doi.org/10.1080/15325024.2022.2141515")</f>
        <v>http://dx.doi.org/10.1080/15325024.2022.2141515</v>
      </c>
    </row>
    <row r="1038" spans="1:16" ht="15.75" customHeight="1">
      <c r="A1038" s="1" t="s">
        <v>0</v>
      </c>
      <c r="B1038" s="1" t="s">
        <v>2861</v>
      </c>
      <c r="C1038" s="1" t="s">
        <v>2870</v>
      </c>
      <c r="D1038" s="1" t="s">
        <v>2871</v>
      </c>
      <c r="E1038" s="1" t="s">
        <v>2872</v>
      </c>
      <c r="F1038" s="1" t="s">
        <v>2873</v>
      </c>
      <c r="G1038" s="1">
        <v>131</v>
      </c>
      <c r="H1038" s="1">
        <v>2</v>
      </c>
      <c r="I1038" s="1">
        <v>2023</v>
      </c>
      <c r="J1038" s="1">
        <v>29</v>
      </c>
      <c r="K1038" s="1">
        <v>4</v>
      </c>
      <c r="L1038" s="1">
        <v>378</v>
      </c>
      <c r="M1038" s="1">
        <v>397</v>
      </c>
      <c r="N1038" s="1" t="s">
        <v>6</v>
      </c>
      <c r="O1038" s="1" t="s">
        <v>2874</v>
      </c>
      <c r="P1038" s="3" t="str">
        <f>HYPERLINK("http://dx.doi.org/10.1080/13504630.2023.2249418","http://dx.doi.org/10.1080/13504630.2023.2249418")</f>
        <v>http://dx.doi.org/10.1080/13504630.2023.2249418</v>
      </c>
    </row>
    <row r="1039" spans="1:16" ht="15.75" customHeight="1">
      <c r="A1039" s="1" t="s">
        <v>0</v>
      </c>
      <c r="B1039" s="1" t="s">
        <v>1786</v>
      </c>
      <c r="C1039" s="1" t="s">
        <v>1787</v>
      </c>
      <c r="D1039" s="1" t="s">
        <v>1782</v>
      </c>
      <c r="E1039" s="1" t="s">
        <v>1788</v>
      </c>
      <c r="F1039" s="1" t="s">
        <v>1789</v>
      </c>
      <c r="G1039" s="1">
        <v>59</v>
      </c>
      <c r="H1039" s="1">
        <v>2</v>
      </c>
      <c r="I1039" s="1">
        <v>2023</v>
      </c>
      <c r="J1039" s="1">
        <v>22</v>
      </c>
      <c r="K1039" s="1">
        <v>1</v>
      </c>
      <c r="L1039" s="1">
        <v>1</v>
      </c>
      <c r="M1039" s="1">
        <v>9</v>
      </c>
      <c r="N1039" s="1" t="s">
        <v>6</v>
      </c>
      <c r="O1039" s="1" t="s">
        <v>1790</v>
      </c>
      <c r="P1039" s="3" t="str">
        <f>HYPERLINK("http://dx.doi.org/10.1057/s41304-022-00405-6","http://dx.doi.org/10.1057/s41304-022-00405-6")</f>
        <v>http://dx.doi.org/10.1057/s41304-022-00405-6</v>
      </c>
    </row>
    <row r="1040" spans="1:16" ht="15.75" customHeight="1">
      <c r="A1040" s="1" t="s">
        <v>0</v>
      </c>
      <c r="B1040" s="1" t="s">
        <v>7026</v>
      </c>
      <c r="C1040" s="1" t="s">
        <v>7027</v>
      </c>
      <c r="D1040" s="1" t="s">
        <v>1904</v>
      </c>
      <c r="E1040" s="1" t="s">
        <v>7028</v>
      </c>
      <c r="F1040" s="1" t="s">
        <v>7029</v>
      </c>
      <c r="G1040" s="1">
        <v>55</v>
      </c>
      <c r="H1040" s="1">
        <v>2</v>
      </c>
      <c r="I1040" s="1">
        <v>2023</v>
      </c>
      <c r="J1040" s="1">
        <v>21</v>
      </c>
      <c r="K1040" s="1">
        <v>4</v>
      </c>
      <c r="L1040" s="1">
        <v>547</v>
      </c>
      <c r="M1040" s="1">
        <v>565</v>
      </c>
      <c r="N1040" s="1" t="s">
        <v>6</v>
      </c>
      <c r="O1040" s="1" t="s">
        <v>7030</v>
      </c>
      <c r="P1040" s="3" t="str">
        <f>HYPERLINK("http://dx.doi.org/10.1080/15562948.2022.2163521","http://dx.doi.org/10.1080/15562948.2022.2163521")</f>
        <v>http://dx.doi.org/10.1080/15562948.2022.2163521</v>
      </c>
    </row>
    <row r="1041" spans="1:16" ht="15.75" customHeight="1">
      <c r="A1041" s="1" t="s">
        <v>10</v>
      </c>
      <c r="B1041" s="1" t="s">
        <v>6978</v>
      </c>
      <c r="C1041" s="1" t="s">
        <v>6979</v>
      </c>
      <c r="D1041" s="1" t="s">
        <v>662</v>
      </c>
      <c r="E1041" s="1" t="s">
        <v>6980</v>
      </c>
      <c r="F1041" s="1" t="s">
        <v>6981</v>
      </c>
      <c r="H1041" s="1">
        <v>1</v>
      </c>
      <c r="I1041" s="1">
        <v>2023</v>
      </c>
      <c r="J1041" s="1">
        <v>21</v>
      </c>
      <c r="K1041" s="1">
        <v>1</v>
      </c>
      <c r="O1041" s="1" t="s">
        <v>6982</v>
      </c>
    </row>
    <row r="1042" spans="1:16" ht="15.75" customHeight="1">
      <c r="A1042" s="1" t="s">
        <v>10</v>
      </c>
      <c r="B1042" s="1" t="s">
        <v>4898</v>
      </c>
      <c r="C1042" s="1" t="s">
        <v>4899</v>
      </c>
      <c r="D1042" s="1" t="s">
        <v>4900</v>
      </c>
      <c r="E1042" s="1" t="s">
        <v>4901</v>
      </c>
      <c r="F1042" s="1" t="s">
        <v>4902</v>
      </c>
      <c r="H1042" s="1">
        <v>1</v>
      </c>
      <c r="I1042" s="1">
        <v>2023</v>
      </c>
      <c r="J1042" s="1">
        <v>58</v>
      </c>
      <c r="K1042" s="1">
        <v>3</v>
      </c>
      <c r="O1042" s="1" t="s">
        <v>4903</v>
      </c>
    </row>
    <row r="1043" spans="1:16" ht="15.75" customHeight="1">
      <c r="A1043" s="1" t="s">
        <v>10</v>
      </c>
      <c r="B1043" s="1" t="s">
        <v>4238</v>
      </c>
      <c r="C1043" s="1" t="s">
        <v>4239</v>
      </c>
      <c r="D1043" s="1" t="s">
        <v>4240</v>
      </c>
      <c r="E1043" s="1" t="s">
        <v>4241</v>
      </c>
      <c r="F1043" s="1" t="s">
        <v>4242</v>
      </c>
      <c r="H1043" s="1">
        <v>1</v>
      </c>
      <c r="I1043" s="1">
        <v>2023</v>
      </c>
      <c r="K1043" s="1">
        <v>48</v>
      </c>
      <c r="O1043" s="1" t="s">
        <v>4243</v>
      </c>
    </row>
    <row r="1044" spans="1:16" ht="15.75" customHeight="1">
      <c r="A1044" s="1" t="s">
        <v>10</v>
      </c>
      <c r="B1044" s="1" t="s">
        <v>4281</v>
      </c>
      <c r="C1044" s="1" t="s">
        <v>4282</v>
      </c>
      <c r="D1044" s="1" t="s">
        <v>1404</v>
      </c>
      <c r="E1044" s="1" t="s">
        <v>4283</v>
      </c>
      <c r="F1044" s="1" t="s">
        <v>4284</v>
      </c>
      <c r="H1044" s="1">
        <v>1</v>
      </c>
      <c r="I1044" s="1">
        <v>2023</v>
      </c>
      <c r="J1044" s="1">
        <v>12</v>
      </c>
      <c r="K1044" s="1">
        <v>6</v>
      </c>
      <c r="O1044" s="1" t="s">
        <v>4285</v>
      </c>
    </row>
    <row r="1045" spans="1:16" ht="15.75" customHeight="1">
      <c r="A1045" s="1" t="s">
        <v>0</v>
      </c>
      <c r="B1045" s="1" t="s">
        <v>3004</v>
      </c>
      <c r="C1045" s="1" t="s">
        <v>3005</v>
      </c>
      <c r="D1045" s="1" t="s">
        <v>3006</v>
      </c>
      <c r="E1045" s="1" t="s">
        <v>3007</v>
      </c>
      <c r="F1045" s="1" t="s">
        <v>3008</v>
      </c>
      <c r="G1045" s="1">
        <v>66</v>
      </c>
      <c r="H1045" s="1">
        <v>1</v>
      </c>
      <c r="I1045" s="1">
        <v>2023</v>
      </c>
      <c r="J1045" s="1">
        <v>55</v>
      </c>
      <c r="K1045" s="1" t="s">
        <v>6</v>
      </c>
      <c r="L1045" s="1">
        <v>219</v>
      </c>
      <c r="M1045" s="1">
        <v>226</v>
      </c>
      <c r="N1045" s="1" t="s">
        <v>6</v>
      </c>
      <c r="O1045" s="1" t="s">
        <v>3009</v>
      </c>
      <c r="P1045" s="3" t="str">
        <f>HYPERLINK("http://dx.doi.org/10.14349/rlp.2023.v55.24","http://dx.doi.org/10.14349/rlp.2023.v55.24")</f>
        <v>http://dx.doi.org/10.14349/rlp.2023.v55.24</v>
      </c>
    </row>
    <row r="1046" spans="1:16" ht="15.75" customHeight="1">
      <c r="A1046" s="1" t="s">
        <v>10</v>
      </c>
      <c r="B1046" s="1" t="s">
        <v>4297</v>
      </c>
      <c r="C1046" s="1" t="s">
        <v>4298</v>
      </c>
      <c r="D1046" s="1" t="s">
        <v>4299</v>
      </c>
      <c r="E1046" s="1" t="s">
        <v>4300</v>
      </c>
      <c r="F1046" s="1" t="s">
        <v>4301</v>
      </c>
      <c r="H1046" s="1">
        <v>1</v>
      </c>
      <c r="I1046" s="1">
        <v>2023</v>
      </c>
      <c r="J1046" s="1">
        <v>77</v>
      </c>
      <c r="K1046" s="1">
        <v>3</v>
      </c>
      <c r="O1046" s="1" t="s">
        <v>4302</v>
      </c>
    </row>
    <row r="1047" spans="1:16" ht="15.75" customHeight="1">
      <c r="A1047" s="1" t="s">
        <v>0</v>
      </c>
      <c r="B1047" s="1" t="s">
        <v>1305</v>
      </c>
      <c r="C1047" s="1" t="s">
        <v>1324</v>
      </c>
      <c r="D1047" s="1" t="s">
        <v>1325</v>
      </c>
      <c r="E1047" s="1" t="s">
        <v>1326</v>
      </c>
      <c r="F1047" s="1" t="s">
        <v>1327</v>
      </c>
      <c r="G1047" s="1">
        <v>32</v>
      </c>
      <c r="H1047" s="1">
        <v>1</v>
      </c>
      <c r="I1047" s="1">
        <v>2023</v>
      </c>
      <c r="J1047" s="1" t="s">
        <v>6</v>
      </c>
      <c r="K1047" s="1" t="s">
        <v>6</v>
      </c>
      <c r="L1047" s="1" t="s">
        <v>6</v>
      </c>
      <c r="M1047" s="1" t="s">
        <v>6</v>
      </c>
      <c r="N1047" s="1" t="s">
        <v>6</v>
      </c>
      <c r="O1047" s="1" t="s">
        <v>1328</v>
      </c>
      <c r="P1047" s="3" t="str">
        <f>HYPERLINK("http://dx.doi.org/10.1007/s12134-023-01010-2","http://dx.doi.org/10.1007/s12134-023-01010-2")</f>
        <v>http://dx.doi.org/10.1007/s12134-023-01010-2</v>
      </c>
    </row>
    <row r="1048" spans="1:16" ht="15.75" customHeight="1">
      <c r="A1048" s="1" t="s">
        <v>10</v>
      </c>
      <c r="B1048" s="1" t="s">
        <v>6103</v>
      </c>
      <c r="C1048" s="1" t="s">
        <v>6104</v>
      </c>
      <c r="D1048" s="1" t="s">
        <v>6105</v>
      </c>
      <c r="E1048" s="1" t="s">
        <v>6106</v>
      </c>
      <c r="F1048" s="1" t="s">
        <v>6107</v>
      </c>
      <c r="H1048" s="1">
        <v>1</v>
      </c>
      <c r="I1048" s="1">
        <v>2023</v>
      </c>
      <c r="J1048" s="1">
        <v>35</v>
      </c>
      <c r="K1048" s="1">
        <v>8</v>
      </c>
      <c r="O1048" s="1" t="s">
        <v>6108</v>
      </c>
    </row>
    <row r="1049" spans="1:16" ht="15.75" customHeight="1">
      <c r="A1049" s="1" t="s">
        <v>10</v>
      </c>
      <c r="B1049" s="1" t="s">
        <v>4851</v>
      </c>
      <c r="C1049" s="1" t="s">
        <v>4852</v>
      </c>
      <c r="D1049" s="1" t="s">
        <v>4853</v>
      </c>
      <c r="E1049" s="1" t="s">
        <v>4854</v>
      </c>
      <c r="F1049" s="1" t="s">
        <v>4855</v>
      </c>
      <c r="H1049" s="1">
        <v>1</v>
      </c>
      <c r="I1049" s="1">
        <v>2023</v>
      </c>
      <c r="J1049" s="1">
        <v>6</v>
      </c>
      <c r="K1049" s="1">
        <v>4</v>
      </c>
      <c r="O1049" s="1" t="s">
        <v>4856</v>
      </c>
    </row>
    <row r="1050" spans="1:16" ht="15.75" customHeight="1">
      <c r="A1050" s="1" t="s">
        <v>10</v>
      </c>
      <c r="B1050" s="1" t="s">
        <v>3806</v>
      </c>
      <c r="C1050" s="1" t="s">
        <v>3807</v>
      </c>
      <c r="D1050" s="1" t="s">
        <v>3808</v>
      </c>
      <c r="E1050" s="1" t="s">
        <v>3809</v>
      </c>
      <c r="F1050" s="1" t="s">
        <v>3810</v>
      </c>
      <c r="H1050" s="1">
        <v>1</v>
      </c>
      <c r="I1050" s="1">
        <v>2023</v>
      </c>
      <c r="O1050" s="1" t="s">
        <v>3811</v>
      </c>
    </row>
    <row r="1051" spans="1:16" ht="15.75" customHeight="1">
      <c r="A1051" s="1" t="s">
        <v>0</v>
      </c>
      <c r="B1051" s="1" t="s">
        <v>2388</v>
      </c>
      <c r="C1051" s="1" t="s">
        <v>2389</v>
      </c>
      <c r="D1051" s="1" t="s">
        <v>206</v>
      </c>
      <c r="E1051" s="1" t="s">
        <v>2390</v>
      </c>
      <c r="F1051" s="1" t="s">
        <v>2391</v>
      </c>
      <c r="G1051" s="1">
        <v>71</v>
      </c>
      <c r="H1051" s="1">
        <v>1</v>
      </c>
      <c r="I1051" s="1">
        <v>2023</v>
      </c>
      <c r="J1051" s="1" t="s">
        <v>6</v>
      </c>
      <c r="K1051" s="1">
        <v>83</v>
      </c>
      <c r="L1051" s="1">
        <v>61</v>
      </c>
      <c r="M1051" s="1">
        <v>80</v>
      </c>
      <c r="N1051" s="1" t="s">
        <v>6</v>
      </c>
      <c r="O1051" s="1" t="s">
        <v>2392</v>
      </c>
      <c r="P1051" s="3" t="str">
        <f>HYPERLINK("http://dx.doi.org/10.7440/res83.2023.04","http://dx.doi.org/10.7440/res83.2023.04")</f>
        <v>http://dx.doi.org/10.7440/res83.2023.04</v>
      </c>
    </row>
    <row r="1052" spans="1:16" ht="15.75" customHeight="1">
      <c r="A1052" s="1" t="s">
        <v>10</v>
      </c>
      <c r="B1052" s="1" t="s">
        <v>747</v>
      </c>
      <c r="C1052" s="1" t="s">
        <v>748</v>
      </c>
      <c r="D1052" s="1" t="s">
        <v>749</v>
      </c>
      <c r="E1052" s="1" t="s">
        <v>750</v>
      </c>
      <c r="F1052" s="1" t="s">
        <v>751</v>
      </c>
      <c r="H1052" s="1">
        <v>1</v>
      </c>
      <c r="I1052" s="1">
        <v>2023</v>
      </c>
      <c r="J1052" s="1">
        <v>21</v>
      </c>
      <c r="K1052" s="1">
        <v>1</v>
      </c>
      <c r="O1052" s="1" t="s">
        <v>752</v>
      </c>
    </row>
    <row r="1053" spans="1:16" ht="15.75" customHeight="1">
      <c r="A1053" s="1" t="s">
        <v>0</v>
      </c>
      <c r="B1053" s="1" t="s">
        <v>7058</v>
      </c>
      <c r="C1053" s="1" t="s">
        <v>7059</v>
      </c>
      <c r="D1053" s="1" t="s">
        <v>264</v>
      </c>
      <c r="E1053" s="1" t="s">
        <v>7060</v>
      </c>
      <c r="F1053" s="1" t="s">
        <v>7061</v>
      </c>
      <c r="G1053" s="1">
        <v>52</v>
      </c>
      <c r="H1053" s="1">
        <v>1</v>
      </c>
      <c r="I1053" s="1">
        <v>2023</v>
      </c>
      <c r="J1053" s="1">
        <v>49</v>
      </c>
      <c r="K1053" s="1">
        <v>13</v>
      </c>
      <c r="L1053" s="1">
        <v>3409</v>
      </c>
      <c r="M1053" s="1">
        <v>3433</v>
      </c>
      <c r="N1053" s="1" t="s">
        <v>6</v>
      </c>
      <c r="O1053" s="1" t="s">
        <v>7062</v>
      </c>
      <c r="P1053" s="3" t="str">
        <f>HYPERLINK("http://dx.doi.org/10.1080/1369183X.2023.2184294","http://dx.doi.org/10.1080/1369183X.2023.2184294")</f>
        <v>http://dx.doi.org/10.1080/1369183X.2023.2184294</v>
      </c>
    </row>
    <row r="1054" spans="1:16" ht="15.75" customHeight="1">
      <c r="A1054" s="1" t="s">
        <v>0</v>
      </c>
      <c r="B1054" s="1" t="s">
        <v>4868</v>
      </c>
      <c r="C1054" s="1" t="s">
        <v>4869</v>
      </c>
      <c r="D1054" s="1" t="s">
        <v>4870</v>
      </c>
      <c r="E1054" s="1" t="s">
        <v>4871</v>
      </c>
      <c r="F1054" s="1" t="s">
        <v>4872</v>
      </c>
      <c r="G1054" s="1">
        <v>41</v>
      </c>
      <c r="H1054" s="1">
        <v>1</v>
      </c>
      <c r="I1054" s="1">
        <v>2023</v>
      </c>
      <c r="J1054" s="1" t="s">
        <v>6</v>
      </c>
      <c r="K1054" s="1">
        <v>49</v>
      </c>
      <c r="L1054" s="1">
        <v>279</v>
      </c>
      <c r="M1054" s="1">
        <v>305</v>
      </c>
      <c r="N1054" s="1" t="s">
        <v>6</v>
      </c>
      <c r="O1054" s="1" t="s">
        <v>4873</v>
      </c>
      <c r="P1054" s="3" t="str">
        <f>HYPERLINK("http://dx.doi.org/10.18042/hp.49.10","http://dx.doi.org/10.18042/hp.49.10")</f>
        <v>http://dx.doi.org/10.18042/hp.49.10</v>
      </c>
    </row>
    <row r="1055" spans="1:16" ht="15.75" customHeight="1">
      <c r="A1055" s="1" t="s">
        <v>10</v>
      </c>
      <c r="B1055" s="1" t="s">
        <v>3733</v>
      </c>
      <c r="C1055" s="1" t="s">
        <v>3734</v>
      </c>
      <c r="D1055" s="1" t="s">
        <v>3735</v>
      </c>
      <c r="E1055" s="1" t="s">
        <v>3736</v>
      </c>
      <c r="F1055" s="1" t="s">
        <v>3737</v>
      </c>
      <c r="H1055" s="1">
        <v>1</v>
      </c>
      <c r="I1055" s="1">
        <v>2023</v>
      </c>
      <c r="J1055" s="1">
        <v>60</v>
      </c>
      <c r="K1055" s="1">
        <v>2</v>
      </c>
      <c r="O1055" s="1" t="s">
        <v>3738</v>
      </c>
    </row>
    <row r="1056" spans="1:16" ht="15.75" customHeight="1">
      <c r="A1056" s="1" t="s">
        <v>10</v>
      </c>
      <c r="B1056" s="1" t="s">
        <v>2616</v>
      </c>
      <c r="C1056" s="1" t="s">
        <v>2617</v>
      </c>
      <c r="D1056" s="1" t="s">
        <v>2618</v>
      </c>
      <c r="E1056" s="1" t="s">
        <v>2619</v>
      </c>
      <c r="F1056" s="1" t="s">
        <v>2620</v>
      </c>
      <c r="H1056" s="1">
        <v>1</v>
      </c>
      <c r="I1056" s="1">
        <v>2023</v>
      </c>
      <c r="K1056" s="1">
        <v>133</v>
      </c>
      <c r="O1056" s="1" t="s">
        <v>2621</v>
      </c>
    </row>
    <row r="1057" spans="1:16" ht="15.75" customHeight="1">
      <c r="A1057" s="1" t="s">
        <v>0</v>
      </c>
      <c r="B1057" s="1" t="s">
        <v>19</v>
      </c>
      <c r="C1057" s="1" t="s">
        <v>20</v>
      </c>
      <c r="D1057" s="1" t="s">
        <v>21</v>
      </c>
      <c r="E1057" s="1" t="s">
        <v>22</v>
      </c>
      <c r="F1057" s="1" t="s">
        <v>23</v>
      </c>
      <c r="G1057" s="1">
        <v>66</v>
      </c>
      <c r="H1057" s="1">
        <v>1</v>
      </c>
      <c r="I1057" s="1">
        <v>2023</v>
      </c>
      <c r="J1057" s="1">
        <v>32</v>
      </c>
      <c r="K1057" s="1">
        <v>2</v>
      </c>
      <c r="L1057" s="1">
        <v>129</v>
      </c>
      <c r="M1057" s="1">
        <v>140</v>
      </c>
      <c r="N1057" s="1" t="s">
        <v>6</v>
      </c>
      <c r="O1057" s="1" t="s">
        <v>24</v>
      </c>
      <c r="P1057" s="3" t="str">
        <f>HYPERLINK("http://dx.doi.org/10.5209/raso.91746","http://dx.doi.org/10.5209/raso.91746")</f>
        <v>http://dx.doi.org/10.5209/raso.91746</v>
      </c>
    </row>
    <row r="1058" spans="1:16" ht="15.75" customHeight="1">
      <c r="A1058" s="1" t="s">
        <v>0</v>
      </c>
      <c r="B1058" s="1" t="s">
        <v>1689</v>
      </c>
      <c r="C1058" s="1" t="s">
        <v>1690</v>
      </c>
      <c r="D1058" s="1" t="s">
        <v>1691</v>
      </c>
      <c r="E1058" s="1" t="s">
        <v>1692</v>
      </c>
      <c r="F1058" s="1" t="s">
        <v>1693</v>
      </c>
      <c r="G1058" s="1">
        <v>87</v>
      </c>
      <c r="H1058" s="1">
        <v>1</v>
      </c>
      <c r="I1058" s="1">
        <v>2023</v>
      </c>
      <c r="J1058" s="1">
        <v>38</v>
      </c>
      <c r="K1058" s="1">
        <v>3</v>
      </c>
      <c r="L1058" s="1">
        <v>394</v>
      </c>
      <c r="M1058" s="1">
        <v>408</v>
      </c>
      <c r="N1058" s="1" t="s">
        <v>6</v>
      </c>
      <c r="O1058" s="1" t="s">
        <v>1694</v>
      </c>
      <c r="P1058" s="3" t="str">
        <f>HYPERLINK("http://dx.doi.org/10.1093/heapol/czad002","http://dx.doi.org/10.1093/heapol/czad002")</f>
        <v>http://dx.doi.org/10.1093/heapol/czad002</v>
      </c>
    </row>
    <row r="1059" spans="1:16" ht="15.75" customHeight="1">
      <c r="A1059" s="1" t="s">
        <v>10</v>
      </c>
      <c r="B1059" s="1" t="s">
        <v>92</v>
      </c>
      <c r="C1059" s="1" t="s">
        <v>93</v>
      </c>
      <c r="D1059" s="1" t="s">
        <v>94</v>
      </c>
      <c r="E1059" s="1" t="s">
        <v>95</v>
      </c>
      <c r="F1059" s="1" t="s">
        <v>96</v>
      </c>
      <c r="H1059" s="1">
        <v>1</v>
      </c>
      <c r="I1059" s="1">
        <v>2023</v>
      </c>
      <c r="J1059" s="1">
        <v>21</v>
      </c>
      <c r="K1059" s="1">
        <v>2</v>
      </c>
      <c r="O1059" s="1" t="s">
        <v>97</v>
      </c>
    </row>
    <row r="1060" spans="1:16" ht="15.75" customHeight="1">
      <c r="A1060" s="1" t="s">
        <v>0</v>
      </c>
      <c r="B1060" s="1" t="s">
        <v>4920</v>
      </c>
      <c r="C1060" s="1" t="s">
        <v>4921</v>
      </c>
      <c r="D1060" s="1" t="s">
        <v>609</v>
      </c>
      <c r="E1060" s="1" t="s">
        <v>4922</v>
      </c>
      <c r="F1060" s="1" t="s">
        <v>4923</v>
      </c>
      <c r="G1060" s="1">
        <v>36</v>
      </c>
      <c r="H1060" s="1">
        <v>1</v>
      </c>
      <c r="I1060" s="1">
        <v>2023</v>
      </c>
      <c r="J1060" s="1" t="s">
        <v>6</v>
      </c>
      <c r="K1060" s="1">
        <v>133</v>
      </c>
      <c r="L1060" s="1">
        <v>137</v>
      </c>
      <c r="M1060" s="1">
        <v>159</v>
      </c>
      <c r="N1060" s="1" t="s">
        <v>6</v>
      </c>
      <c r="O1060" s="1" t="s">
        <v>4924</v>
      </c>
      <c r="P1060" s="3" t="str">
        <f>HYPERLINK("http://dx.doi.org/10.24241/rcai.2023.133.1.137","http://dx.doi.org/10.24241/rcai.2023.133.1.137")</f>
        <v>http://dx.doi.org/10.24241/rcai.2023.133.1.137</v>
      </c>
    </row>
    <row r="1061" spans="1:16" ht="15.75" customHeight="1">
      <c r="A1061" s="1" t="s">
        <v>0</v>
      </c>
      <c r="B1061" s="1" t="s">
        <v>2460</v>
      </c>
      <c r="C1061" s="1" t="s">
        <v>2461</v>
      </c>
      <c r="D1061" s="1" t="s">
        <v>803</v>
      </c>
      <c r="E1061" s="1" t="s">
        <v>2462</v>
      </c>
      <c r="F1061" s="1" t="s">
        <v>2463</v>
      </c>
      <c r="G1061" s="1">
        <v>46</v>
      </c>
      <c r="H1061" s="1">
        <v>1</v>
      </c>
      <c r="I1061" s="1">
        <v>2023</v>
      </c>
      <c r="J1061" s="1">
        <v>33</v>
      </c>
      <c r="K1061" s="1">
        <v>2</v>
      </c>
      <c r="L1061" s="1">
        <v>47</v>
      </c>
      <c r="M1061" s="1">
        <v>61</v>
      </c>
      <c r="N1061" s="1" t="s">
        <v>6</v>
      </c>
      <c r="O1061" s="1" t="s">
        <v>2464</v>
      </c>
      <c r="P1061" s="3" t="str">
        <f>HYPERLINK("http://dx.doi.org/10.15446/bitacora.v33n2.105519","http://dx.doi.org/10.15446/bitacora.v33n2.105519")</f>
        <v>http://dx.doi.org/10.15446/bitacora.v33n2.105519</v>
      </c>
    </row>
    <row r="1062" spans="1:16" ht="15.75" customHeight="1">
      <c r="A1062" s="1" t="s">
        <v>10</v>
      </c>
      <c r="B1062" s="1" t="s">
        <v>1206</v>
      </c>
      <c r="C1062" s="1" t="s">
        <v>1207</v>
      </c>
      <c r="D1062" s="1" t="s">
        <v>473</v>
      </c>
      <c r="E1062" s="1" t="s">
        <v>1208</v>
      </c>
      <c r="F1062" s="1" t="s">
        <v>1209</v>
      </c>
      <c r="H1062" s="1">
        <v>1</v>
      </c>
      <c r="I1062" s="1">
        <v>2023</v>
      </c>
      <c r="J1062" s="1">
        <v>49</v>
      </c>
      <c r="K1062" s="1">
        <v>148</v>
      </c>
      <c r="O1062" s="1" t="s">
        <v>1210</v>
      </c>
    </row>
    <row r="1063" spans="1:16" ht="15.75" customHeight="1">
      <c r="A1063" s="1" t="s">
        <v>0</v>
      </c>
      <c r="B1063" s="1" t="s">
        <v>1345</v>
      </c>
      <c r="C1063" s="1" t="s">
        <v>1346</v>
      </c>
      <c r="D1063" s="1" t="s">
        <v>1347</v>
      </c>
      <c r="E1063" s="1" t="s">
        <v>1348</v>
      </c>
      <c r="F1063" s="1" t="s">
        <v>1349</v>
      </c>
      <c r="G1063" s="1">
        <v>45</v>
      </c>
      <c r="H1063" s="1">
        <v>1</v>
      </c>
      <c r="I1063" s="1">
        <v>2023</v>
      </c>
      <c r="J1063" s="1">
        <v>79</v>
      </c>
      <c r="K1063" s="1">
        <v>4</v>
      </c>
      <c r="L1063" s="1">
        <v>395</v>
      </c>
      <c r="M1063" s="1">
        <v>416</v>
      </c>
      <c r="N1063" s="1" t="s">
        <v>6</v>
      </c>
      <c r="O1063" s="1" t="s">
        <v>1350</v>
      </c>
      <c r="P1063" s="3" t="str">
        <f>HYPERLINK("http://dx.doi.org/10.1007/s10611-022-10059-6","http://dx.doi.org/10.1007/s10611-022-10059-6")</f>
        <v>http://dx.doi.org/10.1007/s10611-022-10059-6</v>
      </c>
    </row>
    <row r="1064" spans="1:16" ht="15.75" customHeight="1">
      <c r="A1064" s="1" t="s">
        <v>0</v>
      </c>
      <c r="B1064" s="1" t="s">
        <v>6584</v>
      </c>
      <c r="C1064" s="1" t="s">
        <v>6585</v>
      </c>
      <c r="D1064" s="1" t="s">
        <v>6586</v>
      </c>
      <c r="E1064" s="1" t="s">
        <v>6587</v>
      </c>
      <c r="F1064" s="1" t="s">
        <v>6588</v>
      </c>
      <c r="G1064" s="1">
        <v>71</v>
      </c>
      <c r="H1064" s="1">
        <v>1</v>
      </c>
      <c r="I1064" s="1">
        <v>2023</v>
      </c>
      <c r="J1064" s="1">
        <v>35</v>
      </c>
      <c r="K1064" s="1">
        <v>3</v>
      </c>
      <c r="L1064" s="1">
        <v>215</v>
      </c>
      <c r="M1064" s="1">
        <v>227</v>
      </c>
      <c r="N1064" s="1" t="s">
        <v>6</v>
      </c>
      <c r="O1064" s="1" t="s">
        <v>6589</v>
      </c>
      <c r="P1064" s="3" t="str">
        <f>HYPERLINK("http://dx.doi.org/10.1111/ciso.12472","http://dx.doi.org/10.1111/ciso.12472")</f>
        <v>http://dx.doi.org/10.1111/ciso.12472</v>
      </c>
    </row>
    <row r="1065" spans="1:16" ht="15.75" customHeight="1">
      <c r="A1065" s="1" t="s">
        <v>10</v>
      </c>
      <c r="B1065" s="1" t="s">
        <v>4590</v>
      </c>
      <c r="C1065" s="1" t="s">
        <v>4591</v>
      </c>
      <c r="D1065" s="1" t="s">
        <v>4592</v>
      </c>
      <c r="E1065" s="1" t="s">
        <v>4593</v>
      </c>
      <c r="F1065" s="1" t="s">
        <v>4594</v>
      </c>
      <c r="H1065" s="1">
        <v>1</v>
      </c>
      <c r="I1065" s="1">
        <v>2023</v>
      </c>
      <c r="J1065" s="1">
        <v>44</v>
      </c>
      <c r="K1065" s="1">
        <v>8</v>
      </c>
      <c r="O1065" s="1" t="s">
        <v>4595</v>
      </c>
    </row>
    <row r="1066" spans="1:16" ht="15.75" customHeight="1">
      <c r="A1066" s="1" t="s">
        <v>0</v>
      </c>
      <c r="B1066" s="1" t="s">
        <v>1305</v>
      </c>
      <c r="C1066" s="1" t="s">
        <v>1306</v>
      </c>
      <c r="D1066" s="1" t="s">
        <v>1307</v>
      </c>
      <c r="E1066" s="1" t="s">
        <v>1308</v>
      </c>
      <c r="F1066" s="1" t="s">
        <v>1309</v>
      </c>
      <c r="G1066" s="1">
        <v>36</v>
      </c>
      <c r="H1066" s="1">
        <v>1</v>
      </c>
      <c r="I1066" s="1">
        <v>2023</v>
      </c>
      <c r="J1066" s="1" t="s">
        <v>6</v>
      </c>
      <c r="K1066" s="1" t="s">
        <v>6</v>
      </c>
      <c r="L1066" s="1" t="s">
        <v>6</v>
      </c>
      <c r="M1066" s="1" t="s">
        <v>6</v>
      </c>
      <c r="N1066" s="1" t="s">
        <v>6</v>
      </c>
      <c r="O1066" s="1" t="s">
        <v>1310</v>
      </c>
      <c r="P1066" s="3" t="str">
        <f>HYPERLINK("http://dx.doi.org/10.1080/23800127.2023.2295185","http://dx.doi.org/10.1080/23800127.2023.2295185")</f>
        <v>http://dx.doi.org/10.1080/23800127.2023.2295185</v>
      </c>
    </row>
    <row r="1067" spans="1:16" ht="15.75" customHeight="1">
      <c r="A1067" s="1" t="s">
        <v>10</v>
      </c>
      <c r="B1067" s="1" t="s">
        <v>110</v>
      </c>
      <c r="C1067" s="1" t="s">
        <v>111</v>
      </c>
      <c r="D1067" s="1" t="s">
        <v>112</v>
      </c>
      <c r="E1067" s="1" t="s">
        <v>113</v>
      </c>
      <c r="F1067" s="1" t="s">
        <v>114</v>
      </c>
      <c r="H1067" s="1">
        <v>1</v>
      </c>
      <c r="I1067" s="1">
        <v>2023</v>
      </c>
      <c r="J1067" s="1">
        <v>45</v>
      </c>
      <c r="K1067" s="1">
        <v>180</v>
      </c>
      <c r="O1067" s="1" t="s">
        <v>115</v>
      </c>
    </row>
    <row r="1068" spans="1:16" ht="15.75" customHeight="1">
      <c r="A1068" s="1" t="s">
        <v>0</v>
      </c>
      <c r="B1068" s="1" t="s">
        <v>1000</v>
      </c>
      <c r="C1068" s="1" t="s">
        <v>1001</v>
      </c>
      <c r="D1068" s="1" t="s">
        <v>1002</v>
      </c>
      <c r="E1068" s="1" t="s">
        <v>1003</v>
      </c>
      <c r="F1068" s="1" t="s">
        <v>1004</v>
      </c>
      <c r="G1068" s="1">
        <v>15</v>
      </c>
      <c r="H1068" s="1">
        <v>1</v>
      </c>
      <c r="I1068" s="1">
        <v>2023</v>
      </c>
      <c r="J1068" s="1">
        <v>15</v>
      </c>
      <c r="K1068" s="1" t="s">
        <v>6</v>
      </c>
      <c r="L1068" s="1" t="s">
        <v>6</v>
      </c>
      <c r="M1068" s="1" t="s">
        <v>6</v>
      </c>
      <c r="N1068" s="1" t="s">
        <v>1005</v>
      </c>
      <c r="O1068" s="1" t="s">
        <v>1006</v>
      </c>
      <c r="P1068" s="3" t="str">
        <f>HYPERLINK("http://dx.doi.org/10.1590/2175-3369.015.e20210398","http://dx.doi.org/10.1590/2175-3369.015.e20210398")</f>
        <v>http://dx.doi.org/10.1590/2175-3369.015.e20210398</v>
      </c>
    </row>
    <row r="1069" spans="1:16" ht="15.75" customHeight="1">
      <c r="A1069" s="1" t="s">
        <v>10</v>
      </c>
      <c r="B1069" s="1" t="s">
        <v>1526</v>
      </c>
      <c r="C1069" s="1" t="s">
        <v>1527</v>
      </c>
      <c r="D1069" s="1" t="s">
        <v>1528</v>
      </c>
      <c r="E1069" s="1" t="s">
        <v>1529</v>
      </c>
      <c r="F1069" s="1" t="s">
        <v>1530</v>
      </c>
      <c r="H1069" s="1">
        <v>1</v>
      </c>
      <c r="I1069" s="1">
        <v>2023</v>
      </c>
      <c r="J1069" s="1">
        <v>2023</v>
      </c>
      <c r="K1069" s="1">
        <v>51</v>
      </c>
      <c r="O1069" s="1" t="s">
        <v>1531</v>
      </c>
    </row>
    <row r="1070" spans="1:16" ht="15.75" customHeight="1">
      <c r="A1070" s="1" t="s">
        <v>0</v>
      </c>
      <c r="B1070" s="1" t="s">
        <v>488</v>
      </c>
      <c r="C1070" s="1" t="s">
        <v>489</v>
      </c>
      <c r="D1070" s="1" t="s">
        <v>490</v>
      </c>
      <c r="E1070" s="1" t="s">
        <v>491</v>
      </c>
      <c r="F1070" s="1" t="s">
        <v>492</v>
      </c>
      <c r="G1070" s="1">
        <v>64</v>
      </c>
      <c r="H1070" s="1">
        <v>1</v>
      </c>
      <c r="I1070" s="1">
        <v>2023</v>
      </c>
      <c r="J1070" s="1">
        <v>16</v>
      </c>
      <c r="K1070" s="1">
        <v>2</v>
      </c>
      <c r="L1070" s="1">
        <v>205</v>
      </c>
      <c r="M1070" s="1">
        <v>215</v>
      </c>
      <c r="N1070" s="1" t="s">
        <v>6</v>
      </c>
      <c r="O1070" s="1" t="s">
        <v>493</v>
      </c>
      <c r="P1070" s="3" t="str">
        <f>HYPERLINK("http://dx.doi.org/10.1285/i20356609v16i2p205","http://dx.doi.org/10.1285/i20356609v16i2p205")</f>
        <v>http://dx.doi.org/10.1285/i20356609v16i2p205</v>
      </c>
    </row>
    <row r="1071" spans="1:16" ht="15.75" customHeight="1">
      <c r="A1071" s="1" t="s">
        <v>0</v>
      </c>
      <c r="B1071" s="1" t="s">
        <v>2205</v>
      </c>
      <c r="C1071" s="1" t="s">
        <v>2206</v>
      </c>
      <c r="D1071" s="1" t="s">
        <v>2207</v>
      </c>
      <c r="E1071" s="1" t="s">
        <v>2208</v>
      </c>
      <c r="F1071" s="1" t="s">
        <v>2209</v>
      </c>
      <c r="G1071" s="1">
        <v>22</v>
      </c>
      <c r="H1071" s="1">
        <v>1</v>
      </c>
      <c r="I1071" s="1">
        <v>2023</v>
      </c>
      <c r="J1071" s="1">
        <v>32</v>
      </c>
      <c r="K1071" s="1" t="s">
        <v>2210</v>
      </c>
      <c r="O1071" s="1" t="s">
        <v>2211</v>
      </c>
    </row>
    <row r="1072" spans="1:16" ht="15.75" customHeight="1">
      <c r="A1072" s="1" t="s">
        <v>10</v>
      </c>
      <c r="B1072" s="1" t="s">
        <v>5680</v>
      </c>
      <c r="C1072" s="1" t="s">
        <v>5681</v>
      </c>
      <c r="D1072" s="1" t="s">
        <v>5682</v>
      </c>
      <c r="E1072" s="1" t="s">
        <v>5683</v>
      </c>
      <c r="F1072" s="1" t="s">
        <v>5684</v>
      </c>
      <c r="H1072" s="1">
        <v>1</v>
      </c>
      <c r="I1072" s="1">
        <v>2023</v>
      </c>
      <c r="J1072" s="1">
        <v>13</v>
      </c>
      <c r="K1072" s="1">
        <v>9</v>
      </c>
      <c r="O1072" s="1" t="s">
        <v>5685</v>
      </c>
    </row>
    <row r="1073" spans="1:16" ht="15.75" customHeight="1">
      <c r="A1073" s="1" t="s">
        <v>0</v>
      </c>
      <c r="B1073" s="1" t="s">
        <v>116</v>
      </c>
      <c r="C1073" s="1" t="s">
        <v>117</v>
      </c>
      <c r="D1073" s="1" t="s">
        <v>118</v>
      </c>
      <c r="E1073" s="1" t="s">
        <v>119</v>
      </c>
      <c r="F1073" s="1" t="s">
        <v>120</v>
      </c>
      <c r="G1073" s="1">
        <v>72</v>
      </c>
      <c r="H1073" s="1">
        <v>1</v>
      </c>
      <c r="I1073" s="1">
        <v>2023</v>
      </c>
      <c r="J1073" s="1">
        <v>45</v>
      </c>
      <c r="K1073" s="1" t="s">
        <v>121</v>
      </c>
      <c r="O1073" s="1" t="s">
        <v>115</v>
      </c>
    </row>
    <row r="1074" spans="1:16" ht="15.75" customHeight="1">
      <c r="A1074" s="1" t="s">
        <v>0</v>
      </c>
      <c r="B1074" s="1" t="s">
        <v>4080</v>
      </c>
      <c r="C1074" s="1" t="s">
        <v>4081</v>
      </c>
      <c r="D1074" s="1" t="s">
        <v>4082</v>
      </c>
      <c r="E1074" s="1" t="s">
        <v>4083</v>
      </c>
      <c r="F1074" s="1" t="s">
        <v>4084</v>
      </c>
      <c r="G1074" s="1">
        <v>95</v>
      </c>
      <c r="H1074" s="1">
        <v>1</v>
      </c>
      <c r="I1074" s="1">
        <v>2023</v>
      </c>
      <c r="J1074" s="1">
        <v>10</v>
      </c>
      <c r="K1074" s="1">
        <v>2</v>
      </c>
      <c r="L1074" s="1">
        <v>186</v>
      </c>
      <c r="M1074" s="1">
        <v>207</v>
      </c>
      <c r="N1074" s="1" t="s">
        <v>6</v>
      </c>
      <c r="O1074" s="1" t="s">
        <v>4085</v>
      </c>
      <c r="P1074" s="3" t="str">
        <f>HYPERLINK("http://dx.doi.org/10.1037/qup0000260","http://dx.doi.org/10.1037/qup0000260")</f>
        <v>http://dx.doi.org/10.1037/qup0000260</v>
      </c>
    </row>
    <row r="1075" spans="1:16" ht="15.75" customHeight="1">
      <c r="A1075" s="1" t="s">
        <v>10</v>
      </c>
      <c r="B1075" s="1" t="s">
        <v>978</v>
      </c>
      <c r="C1075" s="1" t="s">
        <v>979</v>
      </c>
      <c r="D1075" s="1" t="s">
        <v>980</v>
      </c>
      <c r="F1075" s="1" t="s">
        <v>981</v>
      </c>
      <c r="H1075" s="1">
        <v>1</v>
      </c>
      <c r="I1075" s="1">
        <v>2023</v>
      </c>
      <c r="J1075" s="1">
        <v>34</v>
      </c>
      <c r="K1075" s="1">
        <v>2</v>
      </c>
      <c r="O1075" s="1" t="s">
        <v>982</v>
      </c>
    </row>
    <row r="1076" spans="1:16" ht="15.75" customHeight="1">
      <c r="A1076" s="1" t="s">
        <v>0</v>
      </c>
      <c r="B1076" s="1" t="s">
        <v>5781</v>
      </c>
      <c r="C1076" s="2" t="s">
        <v>5782</v>
      </c>
      <c r="D1076" s="1" t="s">
        <v>5783</v>
      </c>
      <c r="E1076" s="8" t="s">
        <v>7125</v>
      </c>
      <c r="F1076" s="1" t="s">
        <v>5784</v>
      </c>
      <c r="G1076" s="1">
        <v>80</v>
      </c>
      <c r="H1076" s="1">
        <v>0</v>
      </c>
      <c r="I1076" s="1">
        <v>2023</v>
      </c>
      <c r="J1076" s="1">
        <v>88</v>
      </c>
      <c r="K1076" s="1">
        <v>4</v>
      </c>
      <c r="L1076" s="1">
        <v>1163</v>
      </c>
      <c r="M1076" s="1">
        <v>1192</v>
      </c>
      <c r="N1076" s="1" t="s">
        <v>6</v>
      </c>
      <c r="O1076" s="1" t="s">
        <v>5785</v>
      </c>
      <c r="P1076" s="3" t="str">
        <f>HYPERLINK("http://dx.doi.org/10.1111/ruso.12514","http://dx.doi.org/10.1111/ruso.12514")</f>
        <v>http://dx.doi.org/10.1111/ruso.12514</v>
      </c>
    </row>
    <row r="1077" spans="1:16" ht="15.75" customHeight="1">
      <c r="A1077" s="1" t="s">
        <v>0</v>
      </c>
      <c r="B1077" s="1" t="s">
        <v>4303</v>
      </c>
      <c r="C1077" s="1" t="s">
        <v>4307</v>
      </c>
      <c r="D1077" s="2" t="s">
        <v>418</v>
      </c>
      <c r="E1077" s="1" t="s">
        <v>7101</v>
      </c>
      <c r="F1077" s="1" t="s">
        <v>4308</v>
      </c>
      <c r="G1077" s="1">
        <v>81</v>
      </c>
      <c r="H1077" s="1">
        <v>0</v>
      </c>
      <c r="I1077" s="1">
        <v>2023</v>
      </c>
      <c r="J1077" s="1">
        <v>14</v>
      </c>
      <c r="O1077" s="1" t="s">
        <v>4309</v>
      </c>
    </row>
    <row r="1078" spans="1:16" ht="15.75" customHeight="1">
      <c r="A1078" s="1" t="s">
        <v>0</v>
      </c>
      <c r="B1078" s="1" t="s">
        <v>6057</v>
      </c>
      <c r="C1078" s="1" t="s">
        <v>6058</v>
      </c>
      <c r="D1078" s="2" t="s">
        <v>418</v>
      </c>
      <c r="E1078" s="1" t="s">
        <v>7103</v>
      </c>
      <c r="F1078" s="1" t="s">
        <v>6059</v>
      </c>
      <c r="G1078" s="1">
        <v>67</v>
      </c>
      <c r="H1078" s="1">
        <v>0</v>
      </c>
      <c r="I1078" s="1">
        <v>2023</v>
      </c>
      <c r="J1078" s="1">
        <v>14</v>
      </c>
      <c r="O1078" s="1" t="s">
        <v>6060</v>
      </c>
    </row>
    <row r="1079" spans="1:16" ht="15.75" customHeight="1">
      <c r="A1079" s="1" t="s">
        <v>10</v>
      </c>
      <c r="B1079" s="1" t="s">
        <v>5335</v>
      </c>
      <c r="C1079" s="1" t="s">
        <v>5336</v>
      </c>
      <c r="D1079" s="1" t="s">
        <v>5337</v>
      </c>
      <c r="E1079" s="1" t="s">
        <v>5338</v>
      </c>
      <c r="F1079" s="1" t="s">
        <v>5339</v>
      </c>
      <c r="H1079" s="1">
        <v>0</v>
      </c>
      <c r="I1079" s="1">
        <v>2023</v>
      </c>
      <c r="K1079" s="1">
        <v>59</v>
      </c>
      <c r="O1079" s="1" t="s">
        <v>5340</v>
      </c>
    </row>
    <row r="1080" spans="1:16" ht="15.75" customHeight="1">
      <c r="A1080" s="1" t="s">
        <v>10</v>
      </c>
      <c r="B1080" s="1" t="s">
        <v>3095</v>
      </c>
      <c r="C1080" s="1" t="s">
        <v>3096</v>
      </c>
      <c r="D1080" s="1" t="s">
        <v>3097</v>
      </c>
      <c r="E1080" s="1" t="s">
        <v>3098</v>
      </c>
      <c r="F1080" s="1" t="s">
        <v>3099</v>
      </c>
      <c r="H1080" s="1">
        <v>0</v>
      </c>
      <c r="I1080" s="1">
        <v>2023</v>
      </c>
      <c r="J1080" s="1">
        <v>18</v>
      </c>
      <c r="O1080" s="1" t="s">
        <v>3100</v>
      </c>
    </row>
    <row r="1081" spans="1:16" ht="15.75" customHeight="1">
      <c r="A1081" s="1" t="s">
        <v>0</v>
      </c>
      <c r="B1081" s="1" t="s">
        <v>6605</v>
      </c>
      <c r="C1081" s="1" t="s">
        <v>6606</v>
      </c>
      <c r="D1081" s="1" t="s">
        <v>6607</v>
      </c>
      <c r="E1081" s="1" t="s">
        <v>6608</v>
      </c>
      <c r="F1081" s="1" t="s">
        <v>6609</v>
      </c>
      <c r="G1081" s="1">
        <v>64</v>
      </c>
      <c r="H1081" s="1">
        <v>0</v>
      </c>
      <c r="I1081" s="1">
        <v>2023</v>
      </c>
      <c r="J1081" s="1">
        <v>11</v>
      </c>
      <c r="K1081" s="1">
        <v>1</v>
      </c>
      <c r="L1081" s="1" t="s">
        <v>6</v>
      </c>
      <c r="M1081" s="1" t="s">
        <v>6</v>
      </c>
      <c r="N1081" s="1">
        <v>94</v>
      </c>
      <c r="O1081" s="1" t="s">
        <v>6610</v>
      </c>
      <c r="P1081" s="3" t="str">
        <f>HYPERLINK("http://dx.doi.org/10.1186/s40359-023-01147-w","http://dx.doi.org/10.1186/s40359-023-01147-w")</f>
        <v>http://dx.doi.org/10.1186/s40359-023-01147-w</v>
      </c>
    </row>
    <row r="1082" spans="1:16" ht="15.75" customHeight="1">
      <c r="A1082" s="1" t="s">
        <v>10</v>
      </c>
      <c r="B1082" s="1" t="s">
        <v>6327</v>
      </c>
      <c r="C1082" s="1" t="s">
        <v>6328</v>
      </c>
      <c r="D1082" s="1" t="s">
        <v>6329</v>
      </c>
      <c r="E1082" s="1" t="s">
        <v>6330</v>
      </c>
      <c r="F1082" s="1" t="s">
        <v>6331</v>
      </c>
      <c r="H1082" s="1">
        <v>0</v>
      </c>
      <c r="I1082" s="1">
        <v>2023</v>
      </c>
      <c r="J1082" s="1">
        <v>41</v>
      </c>
      <c r="K1082" s="1">
        <v>7</v>
      </c>
      <c r="O1082" s="1" t="s">
        <v>6332</v>
      </c>
    </row>
    <row r="1083" spans="1:16" ht="15.75" customHeight="1">
      <c r="A1083" s="1" t="s">
        <v>10</v>
      </c>
      <c r="B1083" s="1" t="s">
        <v>2636</v>
      </c>
      <c r="C1083" s="1" t="s">
        <v>2637</v>
      </c>
      <c r="D1083" s="1" t="s">
        <v>709</v>
      </c>
      <c r="E1083" s="1" t="s">
        <v>2638</v>
      </c>
      <c r="F1083" s="1" t="s">
        <v>2639</v>
      </c>
      <c r="H1083" s="1">
        <v>0</v>
      </c>
      <c r="I1083" s="1">
        <v>2023</v>
      </c>
      <c r="J1083" s="1">
        <v>97</v>
      </c>
      <c r="O1083" s="1" t="s">
        <v>2640</v>
      </c>
    </row>
    <row r="1084" spans="1:16" ht="15.75" customHeight="1">
      <c r="A1084" s="1" t="s">
        <v>10</v>
      </c>
      <c r="B1084" s="1" t="s">
        <v>1432</v>
      </c>
      <c r="C1084" s="1" t="s">
        <v>1433</v>
      </c>
      <c r="D1084" s="1" t="s">
        <v>1434</v>
      </c>
      <c r="E1084" s="1" t="s">
        <v>1435</v>
      </c>
      <c r="F1084" s="1" t="s">
        <v>1436</v>
      </c>
      <c r="H1084" s="1">
        <v>0</v>
      </c>
      <c r="I1084" s="1">
        <v>2023</v>
      </c>
      <c r="J1084" s="1">
        <v>20</v>
      </c>
      <c r="O1084" s="1" t="s">
        <v>1437</v>
      </c>
    </row>
    <row r="1085" spans="1:16" ht="15.75" customHeight="1">
      <c r="A1085" s="1" t="s">
        <v>463</v>
      </c>
      <c r="B1085" s="1" t="s">
        <v>2668</v>
      </c>
      <c r="C1085" s="1" t="s">
        <v>2669</v>
      </c>
      <c r="D1085" s="1" t="s">
        <v>2670</v>
      </c>
      <c r="E1085" s="1" t="s">
        <v>2671</v>
      </c>
      <c r="F1085" s="1" t="s">
        <v>2672</v>
      </c>
      <c r="H1085" s="1">
        <v>0</v>
      </c>
      <c r="I1085" s="1">
        <v>2023</v>
      </c>
      <c r="O1085" s="1" t="s">
        <v>2673</v>
      </c>
    </row>
    <row r="1086" spans="1:16" ht="15.75" customHeight="1">
      <c r="A1086" s="1" t="s">
        <v>10</v>
      </c>
      <c r="B1086" s="1" t="s">
        <v>1916</v>
      </c>
      <c r="C1086" s="1" t="s">
        <v>1917</v>
      </c>
      <c r="D1086" s="1" t="s">
        <v>1726</v>
      </c>
      <c r="E1086" s="1" t="s">
        <v>1918</v>
      </c>
      <c r="F1086" s="1" t="s">
        <v>1919</v>
      </c>
      <c r="H1086" s="1">
        <v>0</v>
      </c>
      <c r="I1086" s="1">
        <v>2023</v>
      </c>
      <c r="J1086" s="1">
        <v>146</v>
      </c>
      <c r="O1086" s="1" t="s">
        <v>1920</v>
      </c>
    </row>
    <row r="1087" spans="1:16" ht="15.75" customHeight="1">
      <c r="A1087" s="1" t="s">
        <v>10</v>
      </c>
      <c r="B1087" s="1" t="s">
        <v>6468</v>
      </c>
      <c r="C1087" s="1" t="s">
        <v>6469</v>
      </c>
      <c r="D1087" s="1" t="s">
        <v>4900</v>
      </c>
      <c r="E1087" s="1" t="s">
        <v>6470</v>
      </c>
      <c r="F1087" s="1" t="s">
        <v>6471</v>
      </c>
      <c r="H1087" s="1">
        <v>0</v>
      </c>
      <c r="I1087" s="1">
        <v>2023</v>
      </c>
      <c r="J1087" s="1">
        <v>58</v>
      </c>
      <c r="K1087" s="1">
        <v>3</v>
      </c>
      <c r="O1087" s="1" t="s">
        <v>6472</v>
      </c>
    </row>
    <row r="1088" spans="1:16" ht="15.75" customHeight="1">
      <c r="A1088" s="1" t="s">
        <v>10</v>
      </c>
      <c r="B1088" s="1" t="s">
        <v>4534</v>
      </c>
      <c r="C1088" s="1" t="s">
        <v>4535</v>
      </c>
      <c r="D1088" s="1" t="s">
        <v>721</v>
      </c>
      <c r="E1088" s="1" t="s">
        <v>4536</v>
      </c>
      <c r="F1088" s="1" t="s">
        <v>4537</v>
      </c>
      <c r="H1088" s="1">
        <v>0</v>
      </c>
      <c r="I1088" s="1">
        <v>2023</v>
      </c>
      <c r="J1088" s="1">
        <v>31</v>
      </c>
      <c r="K1088" s="1">
        <v>67</v>
      </c>
      <c r="O1088" s="1" t="s">
        <v>4538</v>
      </c>
    </row>
    <row r="1089" spans="1:16" ht="15.75" customHeight="1">
      <c r="A1089" s="1" t="s">
        <v>0</v>
      </c>
      <c r="B1089" s="1" t="s">
        <v>5456</v>
      </c>
      <c r="C1089" s="1" t="s">
        <v>5457</v>
      </c>
      <c r="D1089" s="1" t="s">
        <v>732</v>
      </c>
      <c r="E1089" s="1" t="s">
        <v>5458</v>
      </c>
      <c r="F1089" s="1" t="s">
        <v>5459</v>
      </c>
      <c r="G1089" s="1">
        <v>98</v>
      </c>
      <c r="H1089" s="1">
        <v>0</v>
      </c>
      <c r="I1089" s="1">
        <v>2023</v>
      </c>
      <c r="J1089" s="1">
        <v>31</v>
      </c>
      <c r="K1089" s="1" t="s">
        <v>396</v>
      </c>
      <c r="O1089" s="1" t="s">
        <v>4538</v>
      </c>
    </row>
    <row r="1090" spans="1:16" ht="15.75" customHeight="1">
      <c r="A1090" s="1" t="s">
        <v>10</v>
      </c>
      <c r="B1090" s="1" t="s">
        <v>988</v>
      </c>
      <c r="C1090" s="1" t="s">
        <v>989</v>
      </c>
      <c r="D1090" s="1" t="s">
        <v>990</v>
      </c>
      <c r="E1090" s="1" t="s">
        <v>991</v>
      </c>
      <c r="F1090" s="1" t="s">
        <v>992</v>
      </c>
      <c r="H1090" s="1">
        <v>0</v>
      </c>
      <c r="I1090" s="1">
        <v>2023</v>
      </c>
      <c r="J1090" s="1">
        <v>16</v>
      </c>
      <c r="K1090" s="1">
        <v>5</v>
      </c>
      <c r="O1090" s="1" t="s">
        <v>993</v>
      </c>
    </row>
    <row r="1091" spans="1:16" ht="15.75" customHeight="1">
      <c r="A1091" s="1" t="s">
        <v>10</v>
      </c>
      <c r="B1091" s="1" t="s">
        <v>2841</v>
      </c>
      <c r="C1091" s="1" t="s">
        <v>2842</v>
      </c>
      <c r="D1091" s="1" t="s">
        <v>2618</v>
      </c>
      <c r="E1091" s="1" t="s">
        <v>2843</v>
      </c>
      <c r="F1091" s="1" t="s">
        <v>2844</v>
      </c>
      <c r="H1091" s="1">
        <v>0</v>
      </c>
      <c r="I1091" s="1">
        <v>2023</v>
      </c>
      <c r="K1091" s="1">
        <v>133</v>
      </c>
      <c r="O1091" s="1" t="s">
        <v>2845</v>
      </c>
    </row>
    <row r="1092" spans="1:16" ht="15.75" customHeight="1">
      <c r="A1092" s="1" t="s">
        <v>31</v>
      </c>
      <c r="B1092" s="1" t="s">
        <v>3585</v>
      </c>
      <c r="C1092" s="1" t="s">
        <v>3586</v>
      </c>
      <c r="D1092" s="1" t="s">
        <v>3586</v>
      </c>
      <c r="E1092" s="1" t="s">
        <v>3587</v>
      </c>
      <c r="F1092" s="1" t="s">
        <v>3588</v>
      </c>
      <c r="H1092" s="1">
        <v>0</v>
      </c>
      <c r="I1092" s="1">
        <v>2023</v>
      </c>
      <c r="O1092" s="1" t="s">
        <v>3589</v>
      </c>
    </row>
    <row r="1093" spans="1:16" ht="15.75" customHeight="1">
      <c r="A1093" s="1" t="s">
        <v>0</v>
      </c>
      <c r="B1093" s="1" t="s">
        <v>5404</v>
      </c>
      <c r="C1093" s="1" t="s">
        <v>5405</v>
      </c>
      <c r="D1093" s="1" t="s">
        <v>5406</v>
      </c>
      <c r="E1093" s="1" t="s">
        <v>5407</v>
      </c>
      <c r="F1093" s="1" t="s">
        <v>5408</v>
      </c>
      <c r="G1093" s="1">
        <v>66</v>
      </c>
      <c r="H1093" s="1">
        <v>0</v>
      </c>
      <c r="I1093" s="1">
        <v>2023</v>
      </c>
      <c r="J1093" s="1" t="s">
        <v>6</v>
      </c>
      <c r="K1093" s="1">
        <v>42</v>
      </c>
      <c r="L1093" s="1">
        <v>142</v>
      </c>
      <c r="M1093" s="1">
        <v>168</v>
      </c>
      <c r="N1093" s="1" t="s">
        <v>6</v>
      </c>
      <c r="O1093" s="1" t="s">
        <v>6</v>
      </c>
      <c r="P1093" s="1" t="s">
        <v>6</v>
      </c>
    </row>
    <row r="1094" spans="1:16" ht="15.75" customHeight="1">
      <c r="A1094" s="1" t="s">
        <v>0</v>
      </c>
      <c r="B1094" s="1" t="s">
        <v>2751</v>
      </c>
      <c r="C1094" s="1" t="s">
        <v>2752</v>
      </c>
      <c r="D1094" s="1" t="s">
        <v>2753</v>
      </c>
      <c r="E1094" s="1" t="s">
        <v>2754</v>
      </c>
      <c r="F1094" s="1" t="s">
        <v>2755</v>
      </c>
      <c r="G1094" s="1">
        <v>78</v>
      </c>
      <c r="H1094" s="1">
        <v>0</v>
      </c>
      <c r="I1094" s="1">
        <v>2023</v>
      </c>
      <c r="J1094" s="1">
        <v>29</v>
      </c>
      <c r="K1094" s="1" t="s">
        <v>605</v>
      </c>
      <c r="O1094" s="1" t="s">
        <v>2756</v>
      </c>
    </row>
    <row r="1095" spans="1:16" ht="15.75" customHeight="1">
      <c r="A1095" s="1" t="s">
        <v>10</v>
      </c>
      <c r="B1095" s="1" t="s">
        <v>637</v>
      </c>
      <c r="C1095" s="1" t="s">
        <v>638</v>
      </c>
      <c r="D1095" s="1" t="s">
        <v>639</v>
      </c>
      <c r="E1095" s="1" t="s">
        <v>640</v>
      </c>
      <c r="F1095" s="1" t="s">
        <v>641</v>
      </c>
      <c r="H1095" s="1">
        <v>0</v>
      </c>
      <c r="I1095" s="1">
        <v>2023</v>
      </c>
      <c r="K1095" s="1">
        <v>91</v>
      </c>
      <c r="O1095" s="1" t="s">
        <v>642</v>
      </c>
    </row>
    <row r="1096" spans="1:16" ht="15.75" customHeight="1">
      <c r="A1096" s="1" t="s">
        <v>10</v>
      </c>
      <c r="B1096" s="1" t="s">
        <v>3865</v>
      </c>
      <c r="C1096" s="1" t="s">
        <v>3866</v>
      </c>
      <c r="D1096" s="1" t="s">
        <v>1892</v>
      </c>
      <c r="E1096" s="1" t="s">
        <v>3867</v>
      </c>
      <c r="F1096" s="1" t="s">
        <v>3868</v>
      </c>
      <c r="H1096" s="1">
        <v>0</v>
      </c>
      <c r="I1096" s="1">
        <v>2023</v>
      </c>
      <c r="J1096" s="1">
        <v>24</v>
      </c>
      <c r="O1096" s="1" t="s">
        <v>3869</v>
      </c>
    </row>
    <row r="1097" spans="1:16" ht="15.75" customHeight="1">
      <c r="A1097" s="1" t="s">
        <v>10</v>
      </c>
      <c r="B1097" s="1" t="s">
        <v>5723</v>
      </c>
      <c r="C1097" s="1" t="s">
        <v>5724</v>
      </c>
      <c r="D1097" s="1" t="s">
        <v>1847</v>
      </c>
      <c r="E1097" s="1" t="s">
        <v>5725</v>
      </c>
      <c r="F1097" s="1" t="s">
        <v>5726</v>
      </c>
      <c r="H1097" s="1">
        <v>0</v>
      </c>
      <c r="I1097" s="1">
        <v>2023</v>
      </c>
      <c r="J1097" s="1">
        <v>39</v>
      </c>
      <c r="K1097" s="1" t="s">
        <v>5727</v>
      </c>
      <c r="O1097" s="1" t="s">
        <v>5728</v>
      </c>
    </row>
    <row r="1098" spans="1:16" ht="15.75" customHeight="1">
      <c r="A1098" s="1" t="s">
        <v>463</v>
      </c>
      <c r="B1098" s="1" t="s">
        <v>3386</v>
      </c>
      <c r="C1098" s="1" t="s">
        <v>3387</v>
      </c>
      <c r="D1098" s="1" t="s">
        <v>3388</v>
      </c>
      <c r="E1098" s="1" t="s">
        <v>3389</v>
      </c>
      <c r="F1098" s="1" t="s">
        <v>3390</v>
      </c>
      <c r="H1098" s="1">
        <v>0</v>
      </c>
      <c r="I1098" s="1">
        <v>2023</v>
      </c>
      <c r="O1098" s="1" t="s">
        <v>3391</v>
      </c>
    </row>
    <row r="1099" spans="1:16" ht="15.75" customHeight="1">
      <c r="A1099" s="1" t="s">
        <v>463</v>
      </c>
      <c r="B1099" s="1" t="s">
        <v>3368</v>
      </c>
      <c r="C1099" s="1" t="s">
        <v>3369</v>
      </c>
      <c r="D1099" s="1" t="s">
        <v>3370</v>
      </c>
      <c r="E1099" s="1" t="s">
        <v>3371</v>
      </c>
      <c r="F1099" s="1" t="s">
        <v>3372</v>
      </c>
      <c r="H1099" s="1">
        <v>0</v>
      </c>
      <c r="I1099" s="1">
        <v>2023</v>
      </c>
      <c r="J1099" s="1" t="s">
        <v>3373</v>
      </c>
      <c r="O1099" s="1" t="s">
        <v>3374</v>
      </c>
    </row>
    <row r="1100" spans="1:16" ht="15.75" customHeight="1">
      <c r="A1100" s="1" t="s">
        <v>10</v>
      </c>
      <c r="B1100" s="1" t="s">
        <v>3557</v>
      </c>
      <c r="C1100" s="1" t="s">
        <v>3558</v>
      </c>
      <c r="D1100" s="1" t="s">
        <v>3559</v>
      </c>
      <c r="E1100" s="1" t="s">
        <v>3560</v>
      </c>
      <c r="F1100" s="1" t="s">
        <v>3561</v>
      </c>
      <c r="H1100" s="1">
        <v>0</v>
      </c>
      <c r="I1100" s="1">
        <v>2023</v>
      </c>
      <c r="J1100" s="1">
        <v>43</v>
      </c>
      <c r="K1100" s="1">
        <v>2</v>
      </c>
      <c r="O1100" s="1" t="s">
        <v>3562</v>
      </c>
    </row>
    <row r="1101" spans="1:16" ht="15.75" customHeight="1">
      <c r="A1101" s="1" t="s">
        <v>10</v>
      </c>
      <c r="B1101" s="1" t="s">
        <v>3328</v>
      </c>
      <c r="C1101" s="1" t="s">
        <v>3329</v>
      </c>
      <c r="D1101" s="1" t="s">
        <v>3330</v>
      </c>
      <c r="E1101" s="1" t="s">
        <v>3331</v>
      </c>
      <c r="F1101" s="1" t="s">
        <v>3332</v>
      </c>
      <c r="H1101" s="1">
        <v>0</v>
      </c>
      <c r="I1101" s="1">
        <v>2023</v>
      </c>
      <c r="J1101" s="1">
        <v>10</v>
      </c>
      <c r="K1101" s="1">
        <v>29</v>
      </c>
      <c r="O1101" s="1" t="s">
        <v>3333</v>
      </c>
    </row>
    <row r="1102" spans="1:16" ht="15.75" customHeight="1">
      <c r="A1102" s="1" t="s">
        <v>10</v>
      </c>
      <c r="B1102" s="1" t="s">
        <v>3311</v>
      </c>
      <c r="C1102" s="1" t="s">
        <v>3312</v>
      </c>
      <c r="D1102" s="1" t="s">
        <v>644</v>
      </c>
      <c r="E1102" s="1" t="s">
        <v>3313</v>
      </c>
      <c r="F1102" s="1" t="s">
        <v>3314</v>
      </c>
      <c r="H1102" s="1">
        <v>0</v>
      </c>
      <c r="I1102" s="1">
        <v>2023</v>
      </c>
      <c r="J1102" s="1">
        <v>42</v>
      </c>
      <c r="O1102" s="1" t="s">
        <v>3315</v>
      </c>
    </row>
    <row r="1103" spans="1:16" ht="15.75" customHeight="1">
      <c r="A1103" s="1" t="s">
        <v>10</v>
      </c>
      <c r="B1103" s="1" t="s">
        <v>4434</v>
      </c>
      <c r="C1103" s="1" t="s">
        <v>4435</v>
      </c>
      <c r="D1103" s="1" t="s">
        <v>786</v>
      </c>
      <c r="E1103" s="1" t="s">
        <v>4436</v>
      </c>
      <c r="F1103" s="1" t="s">
        <v>4437</v>
      </c>
      <c r="H1103" s="1">
        <v>0</v>
      </c>
      <c r="I1103" s="1">
        <v>2023</v>
      </c>
      <c r="J1103" s="1">
        <v>7</v>
      </c>
      <c r="O1103" s="1" t="s">
        <v>4438</v>
      </c>
    </row>
    <row r="1104" spans="1:16" ht="15.75" customHeight="1">
      <c r="A1104" s="1" t="s">
        <v>0</v>
      </c>
      <c r="B1104" s="1" t="s">
        <v>391</v>
      </c>
      <c r="C1104" s="1" t="s">
        <v>392</v>
      </c>
      <c r="D1104" s="2" t="s">
        <v>393</v>
      </c>
      <c r="E1104" s="1" t="s">
        <v>394</v>
      </c>
      <c r="F1104" s="1" t="s">
        <v>395</v>
      </c>
      <c r="G1104" s="1">
        <v>51</v>
      </c>
      <c r="H1104" s="1">
        <v>0</v>
      </c>
      <c r="I1104" s="1">
        <v>2023</v>
      </c>
      <c r="J1104" s="1">
        <v>31</v>
      </c>
      <c r="K1104" s="1" t="s">
        <v>396</v>
      </c>
      <c r="O1104" s="1" t="s">
        <v>397</v>
      </c>
    </row>
    <row r="1105" spans="1:16" ht="15.75" customHeight="1">
      <c r="A1105" s="1" t="s">
        <v>0</v>
      </c>
      <c r="B1105" s="1" t="s">
        <v>6238</v>
      </c>
      <c r="C1105" s="1" t="s">
        <v>6239</v>
      </c>
      <c r="D1105" s="1" t="s">
        <v>2910</v>
      </c>
      <c r="E1105" s="1" t="s">
        <v>6240</v>
      </c>
      <c r="F1105" s="1" t="s">
        <v>6241</v>
      </c>
      <c r="G1105" s="1">
        <v>38</v>
      </c>
      <c r="H1105" s="1">
        <v>0</v>
      </c>
      <c r="I1105" s="1">
        <v>2023</v>
      </c>
      <c r="J1105" s="1">
        <v>24</v>
      </c>
      <c r="K1105" s="1" t="s">
        <v>6</v>
      </c>
      <c r="L1105" s="1" t="s">
        <v>6</v>
      </c>
      <c r="M1105" s="1" t="s">
        <v>6</v>
      </c>
      <c r="N1105" s="1" t="s">
        <v>6242</v>
      </c>
      <c r="O1105" s="1" t="s">
        <v>6243</v>
      </c>
      <c r="P1105" s="3" t="str">
        <f>HYPERLINK("http://dx.doi.org/10.21670/ref.2302113","http://dx.doi.org/10.21670/ref.2302113")</f>
        <v>http://dx.doi.org/10.21670/ref.2302113</v>
      </c>
    </row>
    <row r="1106" spans="1:16" ht="15.75" customHeight="1">
      <c r="A1106" s="1" t="s">
        <v>0</v>
      </c>
      <c r="B1106" s="2" t="s">
        <v>6350</v>
      </c>
      <c r="C1106" s="1" t="s">
        <v>6361</v>
      </c>
      <c r="D1106" s="1" t="s">
        <v>58</v>
      </c>
      <c r="E1106" s="1" t="s">
        <v>6362</v>
      </c>
      <c r="F1106" s="1" t="s">
        <v>6363</v>
      </c>
      <c r="G1106" s="1">
        <v>86</v>
      </c>
      <c r="H1106" s="1">
        <v>0</v>
      </c>
      <c r="I1106" s="1">
        <v>2023</v>
      </c>
      <c r="J1106" s="1">
        <v>23</v>
      </c>
      <c r="K1106" s="1" t="s">
        <v>6</v>
      </c>
      <c r="L1106" s="1" t="s">
        <v>6</v>
      </c>
      <c r="M1106" s="1" t="s">
        <v>6</v>
      </c>
      <c r="N1106" s="1" t="s">
        <v>6</v>
      </c>
      <c r="O1106" s="1" t="s">
        <v>6364</v>
      </c>
      <c r="P1106" s="3" t="str">
        <f>HYPERLINK("http://dx.doi.org/10.4067/s0719-09482023000100203","http://dx.doi.org/10.4067/s0719-09482023000100203")</f>
        <v>http://dx.doi.org/10.4067/s0719-09482023000100203</v>
      </c>
    </row>
    <row r="1107" spans="1:16" ht="15.75" customHeight="1">
      <c r="A1107" s="1" t="s">
        <v>10</v>
      </c>
      <c r="B1107" s="1" t="s">
        <v>2579</v>
      </c>
      <c r="C1107" s="1" t="s">
        <v>2580</v>
      </c>
      <c r="D1107" s="1" t="s">
        <v>1522</v>
      </c>
      <c r="E1107" s="1" t="s">
        <v>2581</v>
      </c>
      <c r="F1107" s="1" t="s">
        <v>2582</v>
      </c>
      <c r="H1107" s="1">
        <v>0</v>
      </c>
      <c r="I1107" s="1">
        <v>2023</v>
      </c>
      <c r="K1107" s="1">
        <v>70</v>
      </c>
      <c r="O1107" s="1" t="s">
        <v>2583</v>
      </c>
    </row>
    <row r="1108" spans="1:16" ht="15.75" customHeight="1">
      <c r="A1108" s="1" t="s">
        <v>10</v>
      </c>
      <c r="B1108" s="1" t="s">
        <v>3503</v>
      </c>
      <c r="C1108" s="1" t="s">
        <v>3504</v>
      </c>
      <c r="D1108" s="1" t="s">
        <v>3505</v>
      </c>
      <c r="E1108" s="1" t="s">
        <v>3506</v>
      </c>
      <c r="F1108" s="1" t="s">
        <v>3507</v>
      </c>
      <c r="H1108" s="1">
        <v>0</v>
      </c>
      <c r="I1108" s="1">
        <v>2023</v>
      </c>
      <c r="J1108" s="1">
        <v>92</v>
      </c>
      <c r="O1108" s="1" t="s">
        <v>3508</v>
      </c>
    </row>
    <row r="1109" spans="1:16" ht="15.75" customHeight="1">
      <c r="A1109" s="1" t="s">
        <v>10</v>
      </c>
      <c r="B1109" s="1" t="s">
        <v>1774</v>
      </c>
      <c r="C1109" s="1" t="s">
        <v>1775</v>
      </c>
      <c r="D1109" s="1" t="s">
        <v>1776</v>
      </c>
      <c r="E1109" s="1" t="s">
        <v>1777</v>
      </c>
      <c r="F1109" s="1" t="s">
        <v>1778</v>
      </c>
      <c r="H1109" s="1">
        <v>0</v>
      </c>
      <c r="I1109" s="1">
        <v>2023</v>
      </c>
      <c r="K1109" s="1">
        <v>43</v>
      </c>
      <c r="O1109" s="1" t="s">
        <v>1779</v>
      </c>
    </row>
    <row r="1110" spans="1:16" ht="15.75" customHeight="1">
      <c r="A1110" s="1" t="s">
        <v>10</v>
      </c>
      <c r="B1110" s="1" t="s">
        <v>1234</v>
      </c>
      <c r="C1110" s="1" t="s">
        <v>1235</v>
      </c>
      <c r="D1110" s="1" t="s">
        <v>1236</v>
      </c>
      <c r="E1110" s="1" t="s">
        <v>1237</v>
      </c>
      <c r="F1110" s="1" t="s">
        <v>1238</v>
      </c>
      <c r="H1110" s="1">
        <v>0</v>
      </c>
      <c r="I1110" s="1">
        <v>2023</v>
      </c>
      <c r="J1110" s="1">
        <v>41</v>
      </c>
      <c r="K1110" s="1" t="s">
        <v>1239</v>
      </c>
      <c r="O1110" s="1" t="s">
        <v>1240</v>
      </c>
    </row>
    <row r="1111" spans="1:16" ht="15.75" customHeight="1">
      <c r="A1111" s="1" t="s">
        <v>10</v>
      </c>
      <c r="B1111" s="1" t="s">
        <v>4981</v>
      </c>
      <c r="C1111" s="1" t="s">
        <v>4982</v>
      </c>
      <c r="D1111" s="1" t="s">
        <v>94</v>
      </c>
      <c r="E1111" s="1" t="s">
        <v>4983</v>
      </c>
      <c r="F1111" s="1" t="s">
        <v>4984</v>
      </c>
      <c r="H1111" s="1">
        <v>0</v>
      </c>
      <c r="I1111" s="1">
        <v>2023</v>
      </c>
      <c r="J1111" s="1">
        <v>21</v>
      </c>
      <c r="K1111" s="1">
        <v>3</v>
      </c>
      <c r="O1111" s="1" t="s">
        <v>4985</v>
      </c>
    </row>
    <row r="1112" spans="1:16" ht="15.75" customHeight="1">
      <c r="A1112" s="1" t="s">
        <v>10</v>
      </c>
      <c r="B1112" s="1" t="s">
        <v>1061</v>
      </c>
      <c r="C1112" s="1" t="s">
        <v>1062</v>
      </c>
      <c r="D1112" s="1" t="s">
        <v>94</v>
      </c>
      <c r="E1112" s="1" t="s">
        <v>1063</v>
      </c>
      <c r="F1112" s="1" t="s">
        <v>1064</v>
      </c>
      <c r="H1112" s="1">
        <v>0</v>
      </c>
      <c r="I1112" s="1">
        <v>2023</v>
      </c>
      <c r="J1112" s="1">
        <v>21</v>
      </c>
      <c r="K1112" s="1">
        <v>3</v>
      </c>
      <c r="O1112" s="1" t="s">
        <v>1065</v>
      </c>
    </row>
    <row r="1113" spans="1:16" ht="15.75" customHeight="1">
      <c r="A1113" s="1" t="s">
        <v>10</v>
      </c>
      <c r="B1113" s="1" t="s">
        <v>6804</v>
      </c>
      <c r="C1113" s="1" t="s">
        <v>6805</v>
      </c>
      <c r="D1113" s="1" t="s">
        <v>6806</v>
      </c>
      <c r="E1113" s="1" t="s">
        <v>6807</v>
      </c>
      <c r="F1113" s="1" t="s">
        <v>6808</v>
      </c>
      <c r="H1113" s="1">
        <v>0</v>
      </c>
      <c r="I1113" s="1">
        <v>2023</v>
      </c>
      <c r="O1113" s="1" t="s">
        <v>6809</v>
      </c>
    </row>
    <row r="1114" spans="1:16" ht="15.75" customHeight="1">
      <c r="A1114" s="1" t="s">
        <v>10</v>
      </c>
      <c r="B1114" s="1" t="s">
        <v>768</v>
      </c>
      <c r="C1114" s="1" t="s">
        <v>769</v>
      </c>
      <c r="D1114" s="1" t="s">
        <v>770</v>
      </c>
      <c r="E1114" s="1" t="s">
        <v>771</v>
      </c>
      <c r="F1114" s="1" t="s">
        <v>772</v>
      </c>
      <c r="H1114" s="1">
        <v>0</v>
      </c>
      <c r="I1114" s="1">
        <v>2023</v>
      </c>
      <c r="J1114" s="1">
        <v>12</v>
      </c>
      <c r="K1114" s="1">
        <v>5</v>
      </c>
      <c r="O1114" s="1" t="s">
        <v>773</v>
      </c>
    </row>
    <row r="1115" spans="1:16" ht="15.75" customHeight="1">
      <c r="A1115" s="1" t="s">
        <v>10</v>
      </c>
      <c r="B1115" s="1" t="s">
        <v>4456</v>
      </c>
      <c r="C1115" s="1" t="s">
        <v>4457</v>
      </c>
      <c r="D1115" s="1" t="s">
        <v>223</v>
      </c>
      <c r="E1115" s="1" t="s">
        <v>4458</v>
      </c>
      <c r="F1115" s="1" t="s">
        <v>4459</v>
      </c>
      <c r="H1115" s="1">
        <v>0</v>
      </c>
      <c r="I1115" s="1">
        <v>2023</v>
      </c>
      <c r="J1115" s="1">
        <v>2023</v>
      </c>
      <c r="K1115" s="1">
        <v>90</v>
      </c>
      <c r="O1115" s="1" t="s">
        <v>4460</v>
      </c>
    </row>
    <row r="1116" spans="1:16" ht="15.75" customHeight="1">
      <c r="A1116" s="1" t="s">
        <v>10</v>
      </c>
      <c r="B1116" s="1" t="s">
        <v>753</v>
      </c>
      <c r="C1116" s="1" t="s">
        <v>754</v>
      </c>
      <c r="D1116" s="1" t="s">
        <v>755</v>
      </c>
      <c r="E1116" s="1" t="s">
        <v>756</v>
      </c>
      <c r="F1116" s="1" t="s">
        <v>757</v>
      </c>
      <c r="H1116" s="1">
        <v>0</v>
      </c>
      <c r="I1116" s="1">
        <v>2023</v>
      </c>
      <c r="K1116" s="1">
        <v>79</v>
      </c>
    </row>
    <row r="1117" spans="1:16" ht="15.75" customHeight="1">
      <c r="A1117" s="1" t="s">
        <v>10</v>
      </c>
      <c r="B1117" s="1" t="s">
        <v>1695</v>
      </c>
      <c r="C1117" s="1" t="s">
        <v>1696</v>
      </c>
      <c r="D1117" s="1" t="s">
        <v>650</v>
      </c>
      <c r="E1117" s="1" t="s">
        <v>1697</v>
      </c>
      <c r="F1117" s="1" t="s">
        <v>1698</v>
      </c>
      <c r="H1117" s="1">
        <v>0</v>
      </c>
      <c r="I1117" s="1">
        <v>2023</v>
      </c>
      <c r="J1117" s="1">
        <v>2023</v>
      </c>
      <c r="K1117" s="1">
        <v>44</v>
      </c>
      <c r="O1117" s="1" t="s">
        <v>1699</v>
      </c>
    </row>
    <row r="1118" spans="1:16" ht="15.75" customHeight="1">
      <c r="A1118" s="1" t="s">
        <v>0</v>
      </c>
      <c r="B1118" s="1" t="s">
        <v>5021</v>
      </c>
      <c r="C1118" s="1" t="s">
        <v>5022</v>
      </c>
      <c r="D1118" s="1" t="s">
        <v>5023</v>
      </c>
      <c r="E1118" s="1" t="s">
        <v>5024</v>
      </c>
      <c r="F1118" s="1" t="s">
        <v>5025</v>
      </c>
      <c r="G1118" s="1">
        <v>53</v>
      </c>
      <c r="H1118" s="1">
        <v>0</v>
      </c>
      <c r="I1118" s="1">
        <v>2023</v>
      </c>
      <c r="J1118" s="1">
        <v>16</v>
      </c>
      <c r="K1118" s="1">
        <v>3</v>
      </c>
      <c r="L1118" s="1">
        <v>855</v>
      </c>
      <c r="M1118" s="1">
        <v>876</v>
      </c>
      <c r="N1118" s="1" t="s">
        <v>6</v>
      </c>
      <c r="O1118" s="1" t="s">
        <v>6</v>
      </c>
      <c r="P1118" s="1" t="s">
        <v>6</v>
      </c>
    </row>
    <row r="1119" spans="1:16" ht="15.75" customHeight="1">
      <c r="A1119" s="1" t="s">
        <v>10</v>
      </c>
      <c r="B1119" s="1" t="s">
        <v>4606</v>
      </c>
      <c r="C1119" s="2" t="s">
        <v>4607</v>
      </c>
      <c r="D1119" s="1" t="s">
        <v>3751</v>
      </c>
      <c r="E1119" s="1" t="s">
        <v>4608</v>
      </c>
      <c r="F1119" s="1" t="s">
        <v>4609</v>
      </c>
      <c r="H1119" s="1">
        <v>0</v>
      </c>
      <c r="I1119" s="1">
        <v>2023</v>
      </c>
      <c r="J1119" s="1">
        <v>31</v>
      </c>
      <c r="K1119" s="1">
        <v>61</v>
      </c>
      <c r="O1119" s="1" t="s">
        <v>4610</v>
      </c>
    </row>
    <row r="1120" spans="1:16" ht="15.75" customHeight="1">
      <c r="A1120" s="1" t="s">
        <v>10</v>
      </c>
      <c r="B1120" s="1" t="s">
        <v>5832</v>
      </c>
      <c r="C1120" s="1" t="s">
        <v>5833</v>
      </c>
      <c r="D1120" s="1" t="s">
        <v>5834</v>
      </c>
      <c r="E1120" s="1" t="s">
        <v>5835</v>
      </c>
      <c r="F1120" s="1" t="s">
        <v>5836</v>
      </c>
      <c r="H1120" s="1">
        <v>0</v>
      </c>
      <c r="I1120" s="1">
        <v>2023</v>
      </c>
      <c r="J1120" s="1">
        <v>16</v>
      </c>
      <c r="K1120" s="1">
        <v>3</v>
      </c>
      <c r="O1120" s="1" t="s">
        <v>5837</v>
      </c>
    </row>
    <row r="1121" spans="1:16" ht="15.75" customHeight="1">
      <c r="A1121" s="1" t="s">
        <v>10</v>
      </c>
      <c r="B1121" s="1" t="s">
        <v>6701</v>
      </c>
      <c r="C1121" s="1" t="s">
        <v>6707</v>
      </c>
      <c r="D1121" s="1" t="s">
        <v>6708</v>
      </c>
      <c r="E1121" s="1" t="s">
        <v>6709</v>
      </c>
      <c r="F1121" s="1" t="s">
        <v>6710</v>
      </c>
      <c r="H1121" s="1">
        <v>0</v>
      </c>
      <c r="I1121" s="1">
        <v>2023</v>
      </c>
      <c r="O1121" s="1" t="s">
        <v>6711</v>
      </c>
    </row>
    <row r="1122" spans="1:16" ht="15.75" customHeight="1">
      <c r="A1122" s="1" t="s">
        <v>10</v>
      </c>
      <c r="B1122" s="1" t="s">
        <v>1828</v>
      </c>
      <c r="C1122" s="1" t="s">
        <v>1829</v>
      </c>
      <c r="D1122" s="1" t="s">
        <v>650</v>
      </c>
      <c r="E1122" s="1" t="s">
        <v>1830</v>
      </c>
      <c r="F1122" s="1" t="s">
        <v>1831</v>
      </c>
      <c r="H1122" s="1">
        <v>0</v>
      </c>
      <c r="I1122" s="1">
        <v>2023</v>
      </c>
      <c r="J1122" s="1">
        <v>2023</v>
      </c>
      <c r="K1122" s="1">
        <v>44</v>
      </c>
      <c r="O1122" s="1" t="s">
        <v>1832</v>
      </c>
    </row>
    <row r="1123" spans="1:16" ht="15.75" customHeight="1">
      <c r="A1123" s="1" t="s">
        <v>463</v>
      </c>
      <c r="B1123" s="1" t="s">
        <v>5922</v>
      </c>
      <c r="C1123" s="1" t="s">
        <v>5923</v>
      </c>
      <c r="D1123" s="1" t="s">
        <v>5924</v>
      </c>
      <c r="E1123" s="1" t="s">
        <v>5925</v>
      </c>
      <c r="F1123" s="1" t="s">
        <v>5926</v>
      </c>
      <c r="H1123" s="1">
        <v>0</v>
      </c>
      <c r="I1123" s="1">
        <v>2023</v>
      </c>
      <c r="O1123" s="1" t="s">
        <v>5927</v>
      </c>
    </row>
    <row r="1124" spans="1:16" ht="15.75" customHeight="1">
      <c r="A1124" s="1" t="s">
        <v>10</v>
      </c>
      <c r="B1124" s="1" t="s">
        <v>1509</v>
      </c>
      <c r="C1124" s="1" t="s">
        <v>1510</v>
      </c>
      <c r="D1124" s="1" t="s">
        <v>1511</v>
      </c>
      <c r="E1124" s="1" t="s">
        <v>1512</v>
      </c>
      <c r="F1124" s="1" t="s">
        <v>1513</v>
      </c>
      <c r="H1124" s="1">
        <v>0</v>
      </c>
      <c r="I1124" s="1">
        <v>2023</v>
      </c>
      <c r="O1124" s="1" t="s">
        <v>1514</v>
      </c>
    </row>
    <row r="1125" spans="1:16" ht="15.75" customHeight="1">
      <c r="A1125" s="1" t="s">
        <v>10</v>
      </c>
      <c r="B1125" s="1" t="s">
        <v>851</v>
      </c>
      <c r="C1125" s="1" t="s">
        <v>852</v>
      </c>
      <c r="D1125" s="1" t="s">
        <v>853</v>
      </c>
      <c r="E1125" s="1" t="s">
        <v>854</v>
      </c>
      <c r="F1125" s="1" t="s">
        <v>855</v>
      </c>
      <c r="H1125" s="1">
        <v>0</v>
      </c>
      <c r="I1125" s="1">
        <v>2023</v>
      </c>
      <c r="J1125" s="1">
        <v>74</v>
      </c>
      <c r="K1125" s="1">
        <v>5</v>
      </c>
      <c r="O1125" s="1" t="s">
        <v>856</v>
      </c>
    </row>
    <row r="1126" spans="1:16" ht="15.75" customHeight="1">
      <c r="A1126" s="1" t="s">
        <v>0</v>
      </c>
      <c r="B1126" s="1" t="s">
        <v>5480</v>
      </c>
      <c r="C1126" s="1" t="s">
        <v>5481</v>
      </c>
      <c r="D1126" s="1" t="s">
        <v>3249</v>
      </c>
      <c r="E1126" s="1" t="s">
        <v>5482</v>
      </c>
      <c r="F1126" s="1" t="s">
        <v>5483</v>
      </c>
      <c r="G1126" s="1">
        <v>61</v>
      </c>
      <c r="H1126" s="1">
        <v>0</v>
      </c>
      <c r="I1126" s="1">
        <v>2023</v>
      </c>
      <c r="J1126" s="1">
        <v>44</v>
      </c>
      <c r="K1126" s="1">
        <v>8</v>
      </c>
      <c r="L1126" s="1">
        <v>1286</v>
      </c>
      <c r="M1126" s="1">
        <v>1303</v>
      </c>
      <c r="N1126" s="1" t="s">
        <v>6</v>
      </c>
      <c r="O1126" s="1" t="s">
        <v>5484</v>
      </c>
      <c r="P1126" s="3" t="str">
        <f>HYPERLINK("http://dx.doi.org/10.1080/01425692.2023.2284648","http://dx.doi.org/10.1080/01425692.2023.2284648")</f>
        <v>http://dx.doi.org/10.1080/01425692.2023.2284648</v>
      </c>
    </row>
    <row r="1127" spans="1:16" ht="15.75" customHeight="1">
      <c r="A1127" s="1" t="s">
        <v>0</v>
      </c>
      <c r="B1127" s="1" t="s">
        <v>2383</v>
      </c>
      <c r="C1127" s="1" t="s">
        <v>2384</v>
      </c>
      <c r="D1127" s="1" t="s">
        <v>609</v>
      </c>
      <c r="E1127" s="1" t="s">
        <v>2385</v>
      </c>
      <c r="F1127" s="1" t="s">
        <v>2386</v>
      </c>
      <c r="G1127" s="1">
        <v>47</v>
      </c>
      <c r="H1127" s="1">
        <v>0</v>
      </c>
      <c r="I1127" s="1">
        <v>2023</v>
      </c>
      <c r="J1127" s="1" t="s">
        <v>6</v>
      </c>
      <c r="K1127" s="1">
        <v>133</v>
      </c>
      <c r="L1127" s="1">
        <v>65</v>
      </c>
      <c r="M1127" s="1">
        <v>89</v>
      </c>
      <c r="N1127" s="1" t="s">
        <v>6</v>
      </c>
      <c r="O1127" s="1" t="s">
        <v>2387</v>
      </c>
      <c r="P1127" s="3" t="str">
        <f>HYPERLINK("http://dx.doi.org/10.24241/rcai.2023.133.1.65","http://dx.doi.org/10.24241/rcai.2023.133.1.65")</f>
        <v>http://dx.doi.org/10.24241/rcai.2023.133.1.65</v>
      </c>
    </row>
    <row r="1128" spans="1:16" ht="15.75" customHeight="1">
      <c r="A1128" s="1" t="s">
        <v>10</v>
      </c>
      <c r="B1128" s="1" t="s">
        <v>4931</v>
      </c>
      <c r="C1128" s="1" t="s">
        <v>4932</v>
      </c>
      <c r="D1128" s="1" t="s">
        <v>4933</v>
      </c>
      <c r="E1128" s="1" t="s">
        <v>4934</v>
      </c>
      <c r="F1128" s="1" t="s">
        <v>4935</v>
      </c>
      <c r="H1128" s="1">
        <v>0</v>
      </c>
      <c r="I1128" s="1">
        <v>2023</v>
      </c>
      <c r="J1128" s="1">
        <v>62</v>
      </c>
      <c r="K1128" s="1">
        <v>2</v>
      </c>
      <c r="O1128" s="1" t="s">
        <v>4936</v>
      </c>
    </row>
    <row r="1129" spans="1:16" ht="15.75" customHeight="1">
      <c r="A1129" s="1" t="s">
        <v>10</v>
      </c>
      <c r="B1129" s="1" t="s">
        <v>1610</v>
      </c>
      <c r="C1129" s="1" t="s">
        <v>1611</v>
      </c>
      <c r="D1129" s="1" t="s">
        <v>1612</v>
      </c>
      <c r="E1129" s="1" t="s">
        <v>1613</v>
      </c>
      <c r="F1129" s="1" t="s">
        <v>1614</v>
      </c>
      <c r="H1129" s="1">
        <v>0</v>
      </c>
      <c r="I1129" s="1">
        <v>2023</v>
      </c>
      <c r="K1129" s="1">
        <v>16</v>
      </c>
    </row>
    <row r="1130" spans="1:16" ht="15.75" customHeight="1">
      <c r="A1130" s="1" t="s">
        <v>463</v>
      </c>
      <c r="B1130" s="1" t="s">
        <v>6109</v>
      </c>
      <c r="C1130" s="1" t="s">
        <v>6110</v>
      </c>
      <c r="D1130" s="1" t="s">
        <v>6111</v>
      </c>
      <c r="E1130" s="1" t="s">
        <v>6112</v>
      </c>
      <c r="F1130" s="1" t="s">
        <v>6113</v>
      </c>
      <c r="H1130" s="1">
        <v>0</v>
      </c>
      <c r="I1130" s="1">
        <v>2023</v>
      </c>
      <c r="O1130" s="1" t="s">
        <v>6114</v>
      </c>
    </row>
    <row r="1131" spans="1:16" ht="15.75" customHeight="1">
      <c r="A1131" s="1" t="s">
        <v>0</v>
      </c>
      <c r="B1131" s="1" t="s">
        <v>5117</v>
      </c>
      <c r="C1131" s="1" t="s">
        <v>5118</v>
      </c>
      <c r="D1131" s="1" t="s">
        <v>5119</v>
      </c>
      <c r="E1131" s="1" t="s">
        <v>5120</v>
      </c>
      <c r="F1131" s="1" t="s">
        <v>5121</v>
      </c>
      <c r="G1131" s="1">
        <v>61</v>
      </c>
      <c r="H1131" s="1">
        <v>0</v>
      </c>
      <c r="I1131" s="1">
        <v>2023</v>
      </c>
      <c r="J1131" s="1">
        <v>43</v>
      </c>
      <c r="K1131" s="1">
        <v>1</v>
      </c>
      <c r="L1131" s="1">
        <v>44</v>
      </c>
      <c r="M1131" s="1">
        <v>65</v>
      </c>
      <c r="N1131" s="1" t="s">
        <v>6</v>
      </c>
      <c r="O1131" s="1" t="s">
        <v>5122</v>
      </c>
      <c r="P1131" s="3" t="str">
        <f>HYPERLINK("http://dx.doi.org/10.1177/0308275X231157552","http://dx.doi.org/10.1177/0308275X231157552")</f>
        <v>http://dx.doi.org/10.1177/0308275X231157552</v>
      </c>
    </row>
    <row r="1132" spans="1:16" ht="15.75" customHeight="1">
      <c r="A1132" s="1" t="s">
        <v>10</v>
      </c>
      <c r="B1132" s="1" t="s">
        <v>1025</v>
      </c>
      <c r="C1132" s="1" t="s">
        <v>1026</v>
      </c>
      <c r="D1132" s="1" t="s">
        <v>1027</v>
      </c>
      <c r="E1132" s="1" t="s">
        <v>1028</v>
      </c>
      <c r="F1132" s="1" t="s">
        <v>1029</v>
      </c>
      <c r="H1132" s="1">
        <v>0</v>
      </c>
      <c r="I1132" s="1">
        <v>2023</v>
      </c>
      <c r="K1132" s="1">
        <v>40</v>
      </c>
      <c r="O1132" s="1" t="s">
        <v>1030</v>
      </c>
    </row>
    <row r="1133" spans="1:16" ht="15.75" customHeight="1">
      <c r="A1133" s="1" t="s">
        <v>0</v>
      </c>
      <c r="B1133" s="1" t="s">
        <v>2651</v>
      </c>
      <c r="C1133" s="2" t="s">
        <v>2652</v>
      </c>
      <c r="D1133" s="1" t="s">
        <v>58</v>
      </c>
      <c r="E1133" s="1" t="s">
        <v>2653</v>
      </c>
      <c r="F1133" s="1" t="s">
        <v>2654</v>
      </c>
      <c r="G1133" s="1">
        <v>51</v>
      </c>
      <c r="H1133" s="1">
        <v>0</v>
      </c>
      <c r="I1133" s="1">
        <v>2023</v>
      </c>
      <c r="J1133" s="1">
        <v>23</v>
      </c>
      <c r="O1133" s="1" t="s">
        <v>2655</v>
      </c>
    </row>
    <row r="1134" spans="1:16" ht="15.75" customHeight="1">
      <c r="A1134" s="1" t="s">
        <v>10</v>
      </c>
      <c r="B1134" s="1" t="s">
        <v>2763</v>
      </c>
      <c r="C1134" s="1" t="s">
        <v>2764</v>
      </c>
      <c r="D1134" s="1" t="s">
        <v>760</v>
      </c>
      <c r="E1134" s="1" t="s">
        <v>2765</v>
      </c>
      <c r="F1134" s="1" t="s">
        <v>2766</v>
      </c>
      <c r="H1134" s="1">
        <v>0</v>
      </c>
      <c r="I1134" s="1">
        <v>2023</v>
      </c>
      <c r="O1134" s="1" t="s">
        <v>2767</v>
      </c>
    </row>
    <row r="1135" spans="1:16" ht="15.75" customHeight="1">
      <c r="A1135" s="1" t="s">
        <v>10</v>
      </c>
      <c r="B1135" s="1" t="s">
        <v>2219</v>
      </c>
      <c r="C1135" s="1" t="s">
        <v>2220</v>
      </c>
      <c r="D1135" s="1" t="s">
        <v>2221</v>
      </c>
      <c r="E1135" s="1" t="s">
        <v>2222</v>
      </c>
      <c r="F1135" s="1" t="s">
        <v>2223</v>
      </c>
      <c r="H1135" s="1">
        <v>0</v>
      </c>
      <c r="I1135" s="1">
        <v>2023</v>
      </c>
      <c r="K1135" s="1">
        <v>61</v>
      </c>
    </row>
    <row r="1136" spans="1:16" ht="15.75" customHeight="1">
      <c r="A1136" s="1" t="s">
        <v>0</v>
      </c>
      <c r="B1136" s="1" t="s">
        <v>5301</v>
      </c>
      <c r="C1136" s="1" t="s">
        <v>5302</v>
      </c>
      <c r="D1136" s="1" t="s">
        <v>2488</v>
      </c>
      <c r="E1136" s="1" t="s">
        <v>5303</v>
      </c>
      <c r="F1136" s="1" t="s">
        <v>5304</v>
      </c>
      <c r="G1136" s="1">
        <v>27</v>
      </c>
      <c r="H1136" s="1">
        <v>0</v>
      </c>
      <c r="I1136" s="1">
        <v>2023</v>
      </c>
      <c r="J1136" s="1" t="s">
        <v>6</v>
      </c>
      <c r="K1136" s="1" t="s">
        <v>6</v>
      </c>
      <c r="L1136" s="1" t="s">
        <v>6</v>
      </c>
      <c r="M1136" s="1" t="s">
        <v>6</v>
      </c>
      <c r="N1136" s="1" t="s">
        <v>6</v>
      </c>
      <c r="O1136" s="1" t="s">
        <v>5305</v>
      </c>
      <c r="P1136" s="3" t="str">
        <f>HYPERLINK("http://dx.doi.org/10.1080/0966369X.2023.2249251","http://dx.doi.org/10.1080/0966369X.2023.2249251")</f>
        <v>http://dx.doi.org/10.1080/0966369X.2023.2249251</v>
      </c>
    </row>
    <row r="1137" spans="1:16" ht="15.75" customHeight="1">
      <c r="A1137" s="1" t="s">
        <v>10</v>
      </c>
      <c r="B1137" s="1" t="s">
        <v>660</v>
      </c>
      <c r="C1137" s="1" t="s">
        <v>661</v>
      </c>
      <c r="D1137" s="1" t="s">
        <v>662</v>
      </c>
      <c r="E1137" s="1" t="s">
        <v>663</v>
      </c>
      <c r="F1137" s="1" t="s">
        <v>664</v>
      </c>
      <c r="H1137" s="1">
        <v>0</v>
      </c>
      <c r="I1137" s="1">
        <v>2023</v>
      </c>
      <c r="O1137" s="1" t="s">
        <v>665</v>
      </c>
    </row>
    <row r="1138" spans="1:16" ht="15.75" customHeight="1">
      <c r="A1138" s="1" t="s">
        <v>10</v>
      </c>
      <c r="B1138" s="1" t="s">
        <v>5868</v>
      </c>
      <c r="C1138" s="1" t="s">
        <v>5869</v>
      </c>
      <c r="D1138" s="1" t="s">
        <v>70</v>
      </c>
      <c r="E1138" s="1" t="s">
        <v>5870</v>
      </c>
      <c r="F1138" s="1" t="s">
        <v>5871</v>
      </c>
      <c r="H1138" s="1">
        <v>0</v>
      </c>
      <c r="I1138" s="1">
        <v>2023</v>
      </c>
      <c r="J1138" s="1">
        <v>14</v>
      </c>
      <c r="O1138" s="1" t="s">
        <v>5872</v>
      </c>
    </row>
    <row r="1139" spans="1:16" ht="15.75" customHeight="1">
      <c r="A1139" s="1" t="s">
        <v>463</v>
      </c>
      <c r="B1139" s="1" t="s">
        <v>2158</v>
      </c>
      <c r="C1139" s="1" t="s">
        <v>2159</v>
      </c>
      <c r="D1139" s="1" t="s">
        <v>2160</v>
      </c>
      <c r="E1139" s="1" t="s">
        <v>2161</v>
      </c>
      <c r="F1139" s="1" t="s">
        <v>2162</v>
      </c>
      <c r="H1139" s="1">
        <v>0</v>
      </c>
      <c r="I1139" s="1">
        <v>2023</v>
      </c>
      <c r="O1139" s="1" t="s">
        <v>2163</v>
      </c>
    </row>
    <row r="1140" spans="1:16" ht="15.75" customHeight="1">
      <c r="A1140" s="1" t="s">
        <v>10</v>
      </c>
      <c r="B1140" s="1" t="s">
        <v>2938</v>
      </c>
      <c r="C1140" s="1" t="s">
        <v>2939</v>
      </c>
      <c r="D1140" s="1" t="s">
        <v>2940</v>
      </c>
      <c r="E1140" s="1" t="s">
        <v>2941</v>
      </c>
      <c r="F1140" s="1" t="s">
        <v>2942</v>
      </c>
      <c r="H1140" s="1">
        <v>0</v>
      </c>
      <c r="I1140" s="1">
        <v>2023</v>
      </c>
      <c r="J1140" s="1">
        <v>17</v>
      </c>
      <c r="K1140" s="1">
        <v>1</v>
      </c>
      <c r="O1140" s="1" t="s">
        <v>2943</v>
      </c>
    </row>
    <row r="1141" spans="1:16" ht="15.75" customHeight="1">
      <c r="A1141" s="1" t="s">
        <v>10</v>
      </c>
      <c r="B1141" s="1" t="s">
        <v>6146</v>
      </c>
      <c r="C1141" s="1" t="s">
        <v>6147</v>
      </c>
      <c r="D1141" s="1" t="s">
        <v>1500</v>
      </c>
      <c r="E1141" s="1" t="s">
        <v>6148</v>
      </c>
      <c r="F1141" s="1" t="s">
        <v>6149</v>
      </c>
      <c r="H1141" s="1">
        <v>0</v>
      </c>
      <c r="I1141" s="1">
        <v>2023</v>
      </c>
      <c r="J1141" s="1">
        <v>2023</v>
      </c>
      <c r="K1141" s="1">
        <v>85</v>
      </c>
      <c r="O1141" s="1" t="s">
        <v>6150</v>
      </c>
    </row>
    <row r="1142" spans="1:16" ht="15.75" customHeight="1">
      <c r="A1142" s="1" t="s">
        <v>10</v>
      </c>
      <c r="B1142" s="1" t="s">
        <v>2132</v>
      </c>
      <c r="C1142" s="1" t="s">
        <v>2133</v>
      </c>
      <c r="D1142" s="1" t="s">
        <v>1500</v>
      </c>
      <c r="E1142" s="1" t="s">
        <v>2134</v>
      </c>
      <c r="F1142" s="1" t="s">
        <v>2135</v>
      </c>
      <c r="H1142" s="1">
        <v>0</v>
      </c>
      <c r="I1142" s="1">
        <v>2023</v>
      </c>
      <c r="J1142" s="1">
        <v>2023</v>
      </c>
      <c r="K1142" s="1">
        <v>86</v>
      </c>
      <c r="O1142" s="1" t="s">
        <v>2136</v>
      </c>
    </row>
    <row r="1143" spans="1:16" ht="15.75" customHeight="1">
      <c r="A1143" s="1" t="s">
        <v>0</v>
      </c>
      <c r="B1143" s="1" t="s">
        <v>5372</v>
      </c>
      <c r="C1143" s="1" t="s">
        <v>5373</v>
      </c>
      <c r="D1143" s="1" t="s">
        <v>5374</v>
      </c>
      <c r="E1143" s="1" t="s">
        <v>5375</v>
      </c>
      <c r="F1143" s="1" t="s">
        <v>5376</v>
      </c>
      <c r="G1143" s="1">
        <v>46</v>
      </c>
      <c r="H1143" s="1">
        <v>0</v>
      </c>
      <c r="I1143" s="1">
        <v>2023</v>
      </c>
      <c r="J1143" s="1">
        <v>38</v>
      </c>
      <c r="K1143" s="1">
        <v>109</v>
      </c>
      <c r="L1143" s="1">
        <v>231</v>
      </c>
      <c r="M1143" s="1">
        <v>254</v>
      </c>
      <c r="N1143" s="1" t="s">
        <v>6</v>
      </c>
      <c r="O1143" s="1" t="s">
        <v>5377</v>
      </c>
      <c r="P1143" s="3" t="str">
        <f>HYPERLINK("http://dx.doi.org/10.5354/0718-8358.2023.67375","http://dx.doi.org/10.5354/0718-8358.2023.67375")</f>
        <v>http://dx.doi.org/10.5354/0718-8358.2023.67375</v>
      </c>
    </row>
    <row r="1144" spans="1:16" ht="15.75" customHeight="1">
      <c r="A1144" s="1" t="s">
        <v>0</v>
      </c>
      <c r="B1144" s="1" t="s">
        <v>1120</v>
      </c>
      <c r="C1144" s="1" t="s">
        <v>1121</v>
      </c>
      <c r="D1144" s="1" t="s">
        <v>1122</v>
      </c>
      <c r="E1144" s="1" t="s">
        <v>1123</v>
      </c>
      <c r="F1144" s="1" t="s">
        <v>1124</v>
      </c>
      <c r="G1144" s="1">
        <v>28</v>
      </c>
      <c r="H1144" s="1">
        <v>0</v>
      </c>
      <c r="I1144" s="1">
        <v>2023</v>
      </c>
      <c r="J1144" s="1">
        <v>4</v>
      </c>
      <c r="K1144" s="1" t="s">
        <v>6</v>
      </c>
      <c r="L1144" s="1" t="s">
        <v>6</v>
      </c>
      <c r="M1144" s="1" t="s">
        <v>6</v>
      </c>
      <c r="N1144" s="1">
        <v>1267156</v>
      </c>
      <c r="O1144" s="1" t="s">
        <v>1125</v>
      </c>
      <c r="P1144" s="3" t="str">
        <f>HYPERLINK("http://dx.doi.org/10.3389/fgwh.2023.1267156","http://dx.doi.org/10.3389/fgwh.2023.1267156")</f>
        <v>http://dx.doi.org/10.3389/fgwh.2023.1267156</v>
      </c>
    </row>
    <row r="1145" spans="1:16" ht="15.75" customHeight="1">
      <c r="A1145" s="1" t="s">
        <v>10</v>
      </c>
      <c r="B1145" s="1" t="s">
        <v>122</v>
      </c>
      <c r="C1145" s="1" t="s">
        <v>123</v>
      </c>
      <c r="D1145" s="1" t="s">
        <v>124</v>
      </c>
      <c r="E1145" s="1" t="s">
        <v>125</v>
      </c>
      <c r="F1145" s="1" t="s">
        <v>126</v>
      </c>
      <c r="H1145" s="1">
        <v>0</v>
      </c>
      <c r="I1145" s="1">
        <v>2023</v>
      </c>
      <c r="J1145" s="1">
        <v>56</v>
      </c>
      <c r="K1145" s="1">
        <v>2</v>
      </c>
      <c r="O1145" s="1" t="s">
        <v>127</v>
      </c>
    </row>
    <row r="1146" spans="1:16" ht="15.75" customHeight="1">
      <c r="A1146" s="1" t="s">
        <v>31</v>
      </c>
      <c r="B1146" s="1" t="s">
        <v>32</v>
      </c>
      <c r="C1146" s="1" t="s">
        <v>33</v>
      </c>
      <c r="D1146" s="1" t="s">
        <v>34</v>
      </c>
      <c r="E1146" s="1" t="s">
        <v>35</v>
      </c>
      <c r="F1146" s="1" t="s">
        <v>36</v>
      </c>
      <c r="H1146" s="1">
        <v>0</v>
      </c>
      <c r="I1146" s="1">
        <v>2023</v>
      </c>
      <c r="O1146" s="1" t="s">
        <v>37</v>
      </c>
    </row>
    <row r="1147" spans="1:16" ht="15.75" customHeight="1">
      <c r="A1147" s="1" t="s">
        <v>10</v>
      </c>
      <c r="B1147" s="1" t="s">
        <v>1277</v>
      </c>
      <c r="C1147" s="1" t="s">
        <v>1278</v>
      </c>
      <c r="D1147" s="1" t="s">
        <v>1279</v>
      </c>
      <c r="E1147" s="1" t="s">
        <v>1280</v>
      </c>
      <c r="F1147" s="1" t="s">
        <v>1281</v>
      </c>
      <c r="H1147" s="1">
        <v>0</v>
      </c>
      <c r="I1147" s="1">
        <v>2023</v>
      </c>
      <c r="J1147" s="1">
        <v>18</v>
      </c>
      <c r="K1147" s="1">
        <v>4</v>
      </c>
      <c r="O1147" s="1" t="s">
        <v>1282</v>
      </c>
    </row>
    <row r="1148" spans="1:16" ht="15.75" customHeight="1">
      <c r="A1148" s="1" t="s">
        <v>10</v>
      </c>
      <c r="B1148" s="1" t="s">
        <v>3749</v>
      </c>
      <c r="C1148" s="1" t="s">
        <v>3750</v>
      </c>
      <c r="D1148" s="1" t="s">
        <v>3751</v>
      </c>
      <c r="E1148" s="1" t="s">
        <v>3752</v>
      </c>
      <c r="F1148" s="1" t="s">
        <v>3753</v>
      </c>
      <c r="H1148" s="1">
        <v>0</v>
      </c>
      <c r="I1148" s="1">
        <v>2023</v>
      </c>
      <c r="J1148" s="1">
        <v>31</v>
      </c>
      <c r="K1148" s="1">
        <v>61</v>
      </c>
      <c r="O1148" s="1" t="s">
        <v>3754</v>
      </c>
    </row>
    <row r="1149" spans="1:16" ht="15.75" customHeight="1">
      <c r="A1149" s="1" t="s">
        <v>31</v>
      </c>
      <c r="B1149" s="1" t="s">
        <v>2881</v>
      </c>
      <c r="C1149" s="1" t="s">
        <v>2882</v>
      </c>
      <c r="D1149" s="1" t="s">
        <v>2883</v>
      </c>
      <c r="E1149" s="1" t="s">
        <v>2884</v>
      </c>
      <c r="F1149" s="1" t="s">
        <v>2885</v>
      </c>
      <c r="H1149" s="1">
        <v>0</v>
      </c>
      <c r="I1149" s="1">
        <v>2023</v>
      </c>
      <c r="O1149" s="1" t="s">
        <v>2886</v>
      </c>
    </row>
    <row r="1150" spans="1:16" ht="15.75" customHeight="1">
      <c r="A1150" s="1" t="s">
        <v>0</v>
      </c>
      <c r="B1150" s="1" t="s">
        <v>1872</v>
      </c>
      <c r="C1150" s="1" t="s">
        <v>1873</v>
      </c>
      <c r="D1150" s="1" t="s">
        <v>1874</v>
      </c>
      <c r="E1150" s="1" t="s">
        <v>1875</v>
      </c>
      <c r="F1150" s="1" t="s">
        <v>1876</v>
      </c>
      <c r="G1150" s="1">
        <v>68</v>
      </c>
      <c r="H1150" s="1">
        <v>0</v>
      </c>
      <c r="I1150" s="1">
        <v>2023</v>
      </c>
      <c r="J1150" s="1">
        <v>59</v>
      </c>
      <c r="K1150" s="1" t="s">
        <v>6</v>
      </c>
      <c r="L1150" s="1" t="s">
        <v>6</v>
      </c>
      <c r="M1150" s="1" t="s">
        <v>6</v>
      </c>
      <c r="N1150" s="1" t="s">
        <v>6</v>
      </c>
      <c r="O1150" s="1" t="s">
        <v>1877</v>
      </c>
      <c r="P1150" s="3" t="str">
        <f>HYPERLINK("http://dx.doi.org/10.14422/mig.2023.021","http://dx.doi.org/10.14422/mig.2023.021")</f>
        <v>http://dx.doi.org/10.14422/mig.2023.021</v>
      </c>
    </row>
    <row r="1151" spans="1:16" ht="15.75" customHeight="1">
      <c r="A1151" s="1" t="s">
        <v>0</v>
      </c>
      <c r="B1151" s="1" t="s">
        <v>1351</v>
      </c>
      <c r="C1151" s="1" t="s">
        <v>1352</v>
      </c>
      <c r="D1151" s="1" t="s">
        <v>3</v>
      </c>
      <c r="E1151" s="1" t="s">
        <v>1353</v>
      </c>
      <c r="F1151" s="1" t="s">
        <v>1354</v>
      </c>
      <c r="G1151" s="1">
        <v>48</v>
      </c>
      <c r="H1151" s="1">
        <v>0</v>
      </c>
      <c r="I1151" s="1">
        <v>2023</v>
      </c>
      <c r="J1151" s="1" t="s">
        <v>6</v>
      </c>
      <c r="K1151" s="1" t="s">
        <v>6</v>
      </c>
      <c r="L1151" s="1" t="s">
        <v>6</v>
      </c>
      <c r="M1151" s="1" t="s">
        <v>6</v>
      </c>
      <c r="N1151" s="1" t="s">
        <v>6</v>
      </c>
      <c r="O1151" s="1" t="s">
        <v>1355</v>
      </c>
      <c r="P1151" s="3" t="str">
        <f>HYPERLINK("http://dx.doi.org/10.1007/s11013-023-09836-2","http://dx.doi.org/10.1007/s11013-023-09836-2")</f>
        <v>http://dx.doi.org/10.1007/s11013-023-09836-2</v>
      </c>
    </row>
    <row r="1152" spans="1:16" ht="15.75" customHeight="1">
      <c r="A1152" s="1" t="s">
        <v>10</v>
      </c>
      <c r="B1152" s="1" t="s">
        <v>298</v>
      </c>
      <c r="C1152" s="1" t="s">
        <v>299</v>
      </c>
      <c r="D1152" s="1" t="s">
        <v>300</v>
      </c>
      <c r="E1152" s="1" t="s">
        <v>301</v>
      </c>
      <c r="F1152" s="1" t="s">
        <v>302</v>
      </c>
      <c r="H1152" s="1">
        <v>0</v>
      </c>
      <c r="I1152" s="1">
        <v>2023</v>
      </c>
      <c r="O1152" s="1" t="s">
        <v>303</v>
      </c>
    </row>
    <row r="1153" spans="1:16" ht="15.75" customHeight="1">
      <c r="A1153" s="1" t="s">
        <v>0</v>
      </c>
      <c r="B1153" s="1" t="s">
        <v>5552</v>
      </c>
      <c r="C1153" s="1" t="s">
        <v>5553</v>
      </c>
      <c r="D1153" s="1" t="s">
        <v>5554</v>
      </c>
      <c r="E1153" s="1" t="s">
        <v>5555</v>
      </c>
      <c r="F1153" s="1" t="s">
        <v>5556</v>
      </c>
      <c r="G1153" s="1">
        <v>63</v>
      </c>
      <c r="H1153" s="1">
        <v>0</v>
      </c>
      <c r="I1153" s="1">
        <v>2023</v>
      </c>
      <c r="J1153" s="1" t="s">
        <v>6</v>
      </c>
      <c r="K1153" s="1" t="s">
        <v>6</v>
      </c>
      <c r="L1153" s="1" t="s">
        <v>6</v>
      </c>
      <c r="M1153" s="1" t="s">
        <v>6</v>
      </c>
      <c r="N1153" s="1" t="s">
        <v>6</v>
      </c>
      <c r="O1153" s="1" t="s">
        <v>5557</v>
      </c>
      <c r="P1153" s="3" t="str">
        <f>HYPERLINK("http://dx.doi.org/10.1080/00343404.2023.2271512","http://dx.doi.org/10.1080/00343404.2023.2271512")</f>
        <v>http://dx.doi.org/10.1080/00343404.2023.2271512</v>
      </c>
    </row>
    <row r="1154" spans="1:16" ht="15.75" customHeight="1">
      <c r="A1154" s="1" t="s">
        <v>0</v>
      </c>
      <c r="B1154" s="1" t="s">
        <v>7020</v>
      </c>
      <c r="C1154" s="1" t="s">
        <v>7021</v>
      </c>
      <c r="D1154" s="1" t="s">
        <v>2910</v>
      </c>
      <c r="E1154" s="1" t="s">
        <v>7022</v>
      </c>
      <c r="F1154" s="1" t="s">
        <v>7023</v>
      </c>
      <c r="G1154" s="1">
        <v>70</v>
      </c>
      <c r="H1154" s="1">
        <v>0</v>
      </c>
      <c r="I1154" s="1">
        <v>2023</v>
      </c>
      <c r="J1154" s="1">
        <v>24</v>
      </c>
      <c r="K1154" s="1" t="s">
        <v>6</v>
      </c>
      <c r="L1154" s="1" t="s">
        <v>6</v>
      </c>
      <c r="M1154" s="1" t="s">
        <v>6</v>
      </c>
      <c r="N1154" s="1" t="s">
        <v>7024</v>
      </c>
      <c r="O1154" s="1" t="s">
        <v>7025</v>
      </c>
      <c r="P1154" s="3" t="str">
        <f>HYPERLINK("http://dx.doi.org/10.21670/ref.2312123","http://dx.doi.org/10.21670/ref.2312123")</f>
        <v>http://dx.doi.org/10.21670/ref.2312123</v>
      </c>
    </row>
    <row r="1155" spans="1:16" ht="15.75" customHeight="1">
      <c r="A1155" s="1" t="s">
        <v>0</v>
      </c>
      <c r="B1155" s="1" t="s">
        <v>187</v>
      </c>
      <c r="C1155" s="1" t="s">
        <v>188</v>
      </c>
      <c r="D1155" s="1" t="s">
        <v>52</v>
      </c>
      <c r="E1155" s="1" t="s">
        <v>189</v>
      </c>
      <c r="F1155" s="1" t="s">
        <v>190</v>
      </c>
      <c r="G1155" s="1">
        <v>38</v>
      </c>
      <c r="H1155" s="1">
        <v>0</v>
      </c>
      <c r="I1155" s="1">
        <v>2023</v>
      </c>
      <c r="J1155" s="1">
        <v>22</v>
      </c>
      <c r="K1155" s="1" t="s">
        <v>191</v>
      </c>
      <c r="O1155" s="1" t="s">
        <v>192</v>
      </c>
    </row>
    <row r="1156" spans="1:16" ht="15.75" customHeight="1">
      <c r="A1156" s="1" t="s">
        <v>0</v>
      </c>
      <c r="B1156" s="1" t="s">
        <v>938</v>
      </c>
      <c r="C1156" s="1" t="s">
        <v>939</v>
      </c>
      <c r="D1156" s="1" t="s">
        <v>732</v>
      </c>
      <c r="E1156" s="1" t="s">
        <v>940</v>
      </c>
      <c r="F1156" s="1" t="s">
        <v>941</v>
      </c>
      <c r="G1156" s="1">
        <v>64</v>
      </c>
      <c r="H1156" s="1">
        <v>0</v>
      </c>
      <c r="I1156" s="1">
        <v>2023</v>
      </c>
      <c r="J1156" s="1">
        <v>31</v>
      </c>
      <c r="K1156" s="1" t="s">
        <v>942</v>
      </c>
      <c r="O1156" s="1" t="s">
        <v>943</v>
      </c>
    </row>
    <row r="1157" spans="1:16" ht="15.75" customHeight="1">
      <c r="A1157" s="1" t="s">
        <v>0</v>
      </c>
      <c r="B1157" s="1" t="s">
        <v>3247</v>
      </c>
      <c r="C1157" s="1" t="s">
        <v>3253</v>
      </c>
      <c r="D1157" s="1" t="s">
        <v>148</v>
      </c>
      <c r="E1157" s="1" t="s">
        <v>3254</v>
      </c>
      <c r="F1157" s="1" t="s">
        <v>3255</v>
      </c>
      <c r="G1157" s="1">
        <v>62</v>
      </c>
      <c r="H1157" s="1">
        <v>0</v>
      </c>
      <c r="I1157" s="1">
        <v>2023</v>
      </c>
      <c r="J1157" s="1">
        <v>31</v>
      </c>
      <c r="K1157" s="1" t="s">
        <v>6</v>
      </c>
      <c r="L1157" s="1" t="s">
        <v>6</v>
      </c>
      <c r="M1157" s="1" t="s">
        <v>6</v>
      </c>
      <c r="N1157" s="1" t="s">
        <v>6</v>
      </c>
      <c r="O1157" s="1" t="s">
        <v>3256</v>
      </c>
      <c r="P1157" s="3" t="str">
        <f>HYPERLINK("http://dx.doi.org/10.14507/epaa.31.7671","http://dx.doi.org/10.14507/epaa.31.7671")</f>
        <v>http://dx.doi.org/10.14507/epaa.31.7671</v>
      </c>
    </row>
    <row r="1158" spans="1:16" ht="15.75" customHeight="1">
      <c r="A1158" s="1" t="s">
        <v>0</v>
      </c>
      <c r="B1158" s="1" t="s">
        <v>2632</v>
      </c>
      <c r="C1158" s="1" t="s">
        <v>2633</v>
      </c>
      <c r="D1158" s="1" t="s">
        <v>58</v>
      </c>
      <c r="E1158" s="1" t="s">
        <v>2634</v>
      </c>
      <c r="F1158" s="1" t="s">
        <v>2635</v>
      </c>
      <c r="G1158" s="1">
        <v>74</v>
      </c>
      <c r="H1158" s="1">
        <v>0</v>
      </c>
      <c r="I1158" s="1">
        <v>2023</v>
      </c>
      <c r="J1158" s="1">
        <v>23</v>
      </c>
      <c r="K1158" s="1" t="s">
        <v>6</v>
      </c>
      <c r="L1158" s="1" t="s">
        <v>6</v>
      </c>
      <c r="M1158" s="1" t="s">
        <v>6</v>
      </c>
      <c r="N1158" s="1" t="s">
        <v>6</v>
      </c>
      <c r="O1158" s="1" t="s">
        <v>6</v>
      </c>
      <c r="P1158" s="1" t="s">
        <v>6</v>
      </c>
    </row>
    <row r="1159" spans="1:16" ht="15.75" customHeight="1">
      <c r="A1159" s="1" t="s">
        <v>10</v>
      </c>
      <c r="B1159" s="1" t="s">
        <v>68</v>
      </c>
      <c r="C1159" s="1" t="s">
        <v>69</v>
      </c>
      <c r="D1159" s="1" t="s">
        <v>70</v>
      </c>
      <c r="E1159" s="1" t="s">
        <v>71</v>
      </c>
      <c r="F1159" s="1" t="s">
        <v>72</v>
      </c>
      <c r="H1159" s="1">
        <v>0</v>
      </c>
      <c r="I1159" s="1">
        <v>2023</v>
      </c>
      <c r="J1159" s="1">
        <v>14</v>
      </c>
      <c r="O1159" s="1" t="s">
        <v>73</v>
      </c>
    </row>
    <row r="1160" spans="1:16" ht="15.75" customHeight="1">
      <c r="A1160" s="1" t="s">
        <v>0</v>
      </c>
      <c r="B1160" s="1" t="s">
        <v>6816</v>
      </c>
      <c r="C1160" s="1" t="s">
        <v>6817</v>
      </c>
      <c r="D1160" s="1" t="s">
        <v>1039</v>
      </c>
      <c r="E1160" s="1" t="s">
        <v>6818</v>
      </c>
      <c r="F1160" s="1" t="s">
        <v>6819</v>
      </c>
      <c r="G1160" s="1">
        <v>59</v>
      </c>
      <c r="H1160" s="1">
        <v>0</v>
      </c>
      <c r="I1160" s="1">
        <v>2023</v>
      </c>
      <c r="J1160" s="1">
        <v>18</v>
      </c>
      <c r="K1160" s="1" t="s">
        <v>6</v>
      </c>
      <c r="L1160" s="1" t="s">
        <v>6</v>
      </c>
      <c r="M1160" s="1" t="s">
        <v>6</v>
      </c>
      <c r="N1160" s="1" t="s">
        <v>6</v>
      </c>
      <c r="O1160" s="1" t="s">
        <v>6</v>
      </c>
      <c r="P1160" s="1" t="s">
        <v>6</v>
      </c>
    </row>
    <row r="1161" spans="1:16" ht="15.75" customHeight="1">
      <c r="A1161" s="1" t="s">
        <v>10</v>
      </c>
      <c r="B1161" s="1" t="s">
        <v>4518</v>
      </c>
      <c r="C1161" s="1" t="s">
        <v>4519</v>
      </c>
      <c r="D1161" s="1" t="s">
        <v>424</v>
      </c>
      <c r="E1161" s="1" t="s">
        <v>4520</v>
      </c>
      <c r="F1161" s="1" t="s">
        <v>4521</v>
      </c>
      <c r="H1161" s="1">
        <v>0</v>
      </c>
      <c r="I1161" s="1">
        <v>2023</v>
      </c>
      <c r="J1161" s="1">
        <v>28</v>
      </c>
      <c r="K1161" s="1">
        <v>102</v>
      </c>
      <c r="O1161" s="1" t="s">
        <v>4522</v>
      </c>
    </row>
    <row r="1162" spans="1:16" ht="15.75" customHeight="1">
      <c r="A1162" s="1" t="s">
        <v>10</v>
      </c>
      <c r="B1162" s="1" t="s">
        <v>5878</v>
      </c>
      <c r="C1162" s="1" t="s">
        <v>5879</v>
      </c>
      <c r="D1162" s="1" t="s">
        <v>1140</v>
      </c>
      <c r="E1162" s="1" t="s">
        <v>5880</v>
      </c>
      <c r="F1162" s="1" t="s">
        <v>5881</v>
      </c>
      <c r="H1162" s="1">
        <v>0</v>
      </c>
      <c r="I1162" s="1">
        <v>2023</v>
      </c>
      <c r="J1162" s="1">
        <v>50</v>
      </c>
      <c r="O1162" s="1" t="s">
        <v>5882</v>
      </c>
    </row>
    <row r="1163" spans="1:16" ht="15.75" customHeight="1">
      <c r="A1163" s="1" t="s">
        <v>10</v>
      </c>
      <c r="B1163" s="1" t="s">
        <v>1823</v>
      </c>
      <c r="C1163" s="1" t="s">
        <v>1824</v>
      </c>
      <c r="D1163" s="1" t="s">
        <v>721</v>
      </c>
      <c r="E1163" s="1" t="s">
        <v>1825</v>
      </c>
      <c r="F1163" s="1" t="s">
        <v>1826</v>
      </c>
      <c r="H1163" s="1">
        <v>0</v>
      </c>
      <c r="I1163" s="1">
        <v>2023</v>
      </c>
      <c r="J1163" s="1">
        <v>31</v>
      </c>
      <c r="K1163" s="1">
        <v>67</v>
      </c>
      <c r="O1163" s="1" t="s">
        <v>1827</v>
      </c>
    </row>
    <row r="1164" spans="1:16" ht="15.75" customHeight="1">
      <c r="A1164" s="1" t="s">
        <v>0</v>
      </c>
      <c r="B1164" s="1" t="s">
        <v>5576</v>
      </c>
      <c r="C1164" s="1" t="s">
        <v>5577</v>
      </c>
      <c r="D1164" s="1" t="s">
        <v>5578</v>
      </c>
      <c r="E1164" s="1" t="s">
        <v>5579</v>
      </c>
      <c r="F1164" s="1" t="s">
        <v>5580</v>
      </c>
      <c r="G1164" s="1">
        <v>70</v>
      </c>
      <c r="H1164" s="1">
        <v>0</v>
      </c>
      <c r="I1164" s="1">
        <v>2023</v>
      </c>
      <c r="J1164" s="1">
        <v>33</v>
      </c>
      <c r="K1164" s="1" t="s">
        <v>378</v>
      </c>
      <c r="O1164" s="1" t="s">
        <v>5581</v>
      </c>
    </row>
    <row r="1165" spans="1:16" ht="15.75" customHeight="1">
      <c r="A1165" s="1" t="s">
        <v>0</v>
      </c>
      <c r="B1165" s="1" t="s">
        <v>6764</v>
      </c>
      <c r="C1165" s="1" t="s">
        <v>6765</v>
      </c>
      <c r="D1165" s="1" t="s">
        <v>996</v>
      </c>
      <c r="E1165" s="1" t="s">
        <v>5579</v>
      </c>
      <c r="F1165" s="1" t="s">
        <v>6766</v>
      </c>
      <c r="G1165" s="1">
        <v>70</v>
      </c>
      <c r="H1165" s="1">
        <v>0</v>
      </c>
      <c r="I1165" s="1">
        <v>2023</v>
      </c>
      <c r="J1165" s="1">
        <v>33</v>
      </c>
      <c r="K1165" s="1">
        <v>1</v>
      </c>
      <c r="L1165" s="1">
        <v>218</v>
      </c>
      <c r="M1165" s="1">
        <v>242</v>
      </c>
      <c r="N1165" s="1" t="s">
        <v>6</v>
      </c>
      <c r="O1165" s="1" t="s">
        <v>6767</v>
      </c>
      <c r="P1165" s="3" t="str">
        <f>HYPERLINK("http://dx.doi.org/10.7770/CUHSD-V33N1-ARTH25","http://dx.doi.org/10.7770/CUHSD-V33N1-ARTH25")</f>
        <v>http://dx.doi.org/10.7770/CUHSD-V33N1-ARTH25</v>
      </c>
    </row>
    <row r="1166" spans="1:16" ht="15.75" customHeight="1">
      <c r="A1166" s="1" t="s">
        <v>0</v>
      </c>
      <c r="B1166" s="1" t="s">
        <v>3396</v>
      </c>
      <c r="C1166" s="1" t="s">
        <v>3397</v>
      </c>
      <c r="D1166" s="1" t="s">
        <v>3398</v>
      </c>
      <c r="E1166" s="1" t="s">
        <v>3399</v>
      </c>
      <c r="F1166" s="1" t="s">
        <v>3400</v>
      </c>
      <c r="G1166" s="1">
        <v>93</v>
      </c>
      <c r="H1166" s="1">
        <v>0</v>
      </c>
      <c r="I1166" s="1">
        <v>2023</v>
      </c>
      <c r="J1166" s="1">
        <v>15</v>
      </c>
      <c r="K1166" s="1">
        <v>1</v>
      </c>
      <c r="L1166" s="1">
        <v>167</v>
      </c>
      <c r="M1166" s="1">
        <v>207</v>
      </c>
      <c r="N1166" s="1" t="s">
        <v>6</v>
      </c>
      <c r="O1166" s="1" t="s">
        <v>3401</v>
      </c>
      <c r="P1166" s="3" t="str">
        <f>HYPERLINK("http://dx.doi.org/10.2924/EJLS.2023.014","http://dx.doi.org/10.2924/EJLS.2023.014")</f>
        <v>http://dx.doi.org/10.2924/EJLS.2023.014</v>
      </c>
    </row>
    <row r="1167" spans="1:16" ht="15.75" customHeight="1">
      <c r="A1167" s="1" t="s">
        <v>10</v>
      </c>
      <c r="B1167" s="1" t="s">
        <v>4194</v>
      </c>
      <c r="C1167" s="1" t="s">
        <v>4195</v>
      </c>
      <c r="D1167" s="1" t="s">
        <v>4196</v>
      </c>
      <c r="E1167" s="1" t="s">
        <v>4197</v>
      </c>
      <c r="F1167" s="1" t="s">
        <v>4198</v>
      </c>
      <c r="H1167" s="1">
        <v>0</v>
      </c>
      <c r="I1167" s="1">
        <v>2023</v>
      </c>
      <c r="J1167" s="1">
        <v>2023</v>
      </c>
      <c r="K1167" s="1">
        <v>67</v>
      </c>
      <c r="O1167" s="1" t="s">
        <v>4199</v>
      </c>
    </row>
    <row r="1168" spans="1:16" ht="15.75" customHeight="1">
      <c r="A1168" s="1" t="s">
        <v>0</v>
      </c>
      <c r="B1168" s="1" t="s">
        <v>5095</v>
      </c>
      <c r="C1168" s="1" t="s">
        <v>5096</v>
      </c>
      <c r="D1168" s="1" t="s">
        <v>3431</v>
      </c>
      <c r="E1168" s="1" t="s">
        <v>5097</v>
      </c>
      <c r="F1168" s="1" t="s">
        <v>5098</v>
      </c>
      <c r="G1168" s="1">
        <v>36</v>
      </c>
      <c r="H1168" s="1">
        <v>0</v>
      </c>
      <c r="I1168" s="1">
        <v>2023</v>
      </c>
      <c r="J1168" s="1">
        <v>12</v>
      </c>
      <c r="K1168" s="1">
        <v>2</v>
      </c>
      <c r="L1168" s="1">
        <v>115</v>
      </c>
      <c r="M1168" s="1">
        <v>134</v>
      </c>
      <c r="N1168" s="1" t="s">
        <v>6</v>
      </c>
      <c r="O1168" s="1" t="s">
        <v>5099</v>
      </c>
      <c r="P1168" s="3" t="str">
        <f>HYPERLINK("http://dx.doi.org/10.15366/riejs2023.12.2.007","http://dx.doi.org/10.15366/riejs2023.12.2.007")</f>
        <v>http://dx.doi.org/10.15366/riejs2023.12.2.007</v>
      </c>
    </row>
    <row r="1169" spans="1:16" ht="15.75" customHeight="1">
      <c r="A1169" s="1" t="s">
        <v>10</v>
      </c>
      <c r="B1169" s="1" t="s">
        <v>1538</v>
      </c>
      <c r="C1169" s="1" t="s">
        <v>1539</v>
      </c>
      <c r="D1169" s="1" t="s">
        <v>721</v>
      </c>
      <c r="E1169" s="1" t="s">
        <v>1540</v>
      </c>
      <c r="F1169" s="1" t="s">
        <v>1541</v>
      </c>
      <c r="H1169" s="1">
        <v>0</v>
      </c>
      <c r="I1169" s="1">
        <v>2023</v>
      </c>
      <c r="J1169" s="1">
        <v>31</v>
      </c>
      <c r="K1169" s="1">
        <v>68</v>
      </c>
      <c r="O1169" s="1" t="s">
        <v>1542</v>
      </c>
    </row>
    <row r="1170" spans="1:16" ht="15.75" customHeight="1">
      <c r="A1170" s="1" t="s">
        <v>463</v>
      </c>
      <c r="B1170" s="1" t="s">
        <v>5015</v>
      </c>
      <c r="C1170" s="1" t="s">
        <v>5016</v>
      </c>
      <c r="D1170" s="1" t="s">
        <v>5017</v>
      </c>
      <c r="E1170" s="1" t="s">
        <v>5018</v>
      </c>
      <c r="F1170" s="1" t="s">
        <v>5019</v>
      </c>
      <c r="H1170" s="1">
        <v>0</v>
      </c>
      <c r="I1170" s="1">
        <v>2023</v>
      </c>
      <c r="O1170" s="1" t="s">
        <v>5020</v>
      </c>
    </row>
    <row r="1171" spans="1:16" ht="15.75" customHeight="1">
      <c r="A1171" s="1" t="s">
        <v>10</v>
      </c>
      <c r="B1171" s="1" t="s">
        <v>966</v>
      </c>
      <c r="C1171" s="1" t="s">
        <v>967</v>
      </c>
      <c r="D1171" s="1" t="s">
        <v>968</v>
      </c>
      <c r="E1171" s="1" t="s">
        <v>969</v>
      </c>
      <c r="F1171" s="1" t="s">
        <v>970</v>
      </c>
      <c r="H1171" s="1">
        <v>0</v>
      </c>
      <c r="I1171" s="1">
        <v>2023</v>
      </c>
      <c r="J1171" s="1">
        <v>33</v>
      </c>
      <c r="K1171" s="1">
        <v>3</v>
      </c>
      <c r="O1171" s="1" t="s">
        <v>971</v>
      </c>
    </row>
    <row r="1172" spans="1:16" ht="15.75" customHeight="1">
      <c r="A1172" s="1" t="s">
        <v>0</v>
      </c>
      <c r="B1172" s="1" t="s">
        <v>6510</v>
      </c>
      <c r="C1172" s="1" t="s">
        <v>6511</v>
      </c>
      <c r="D1172" s="1" t="s">
        <v>6512</v>
      </c>
      <c r="E1172" s="1" t="s">
        <v>6513</v>
      </c>
      <c r="F1172" s="1" t="s">
        <v>6514</v>
      </c>
      <c r="G1172" s="1">
        <v>38</v>
      </c>
      <c r="H1172" s="1">
        <v>0</v>
      </c>
      <c r="I1172" s="1">
        <v>2023</v>
      </c>
      <c r="J1172" s="1">
        <v>199</v>
      </c>
      <c r="K1172" s="1">
        <v>807</v>
      </c>
      <c r="L1172" s="1" t="s">
        <v>6</v>
      </c>
      <c r="M1172" s="1" t="s">
        <v>6</v>
      </c>
      <c r="N1172" s="1" t="s">
        <v>6515</v>
      </c>
      <c r="O1172" s="1" t="s">
        <v>6516</v>
      </c>
      <c r="P1172" s="3" t="str">
        <f>HYPERLINK("http://dx.doi.org/10.3989/arbor.2022.807011","http://dx.doi.org/10.3989/arbor.2022.807011")</f>
        <v>http://dx.doi.org/10.3989/arbor.2022.807011</v>
      </c>
    </row>
    <row r="1173" spans="1:16" ht="15.75" customHeight="1">
      <c r="A1173" s="1" t="s">
        <v>10</v>
      </c>
      <c r="B1173" s="1" t="s">
        <v>3085</v>
      </c>
      <c r="C1173" s="1" t="s">
        <v>3086</v>
      </c>
      <c r="D1173" s="1" t="s">
        <v>3087</v>
      </c>
      <c r="E1173" s="1" t="s">
        <v>3088</v>
      </c>
      <c r="F1173" s="1" t="s">
        <v>3089</v>
      </c>
      <c r="H1173" s="1">
        <v>0</v>
      </c>
      <c r="I1173" s="1">
        <v>2023</v>
      </c>
      <c r="J1173" s="1">
        <v>58</v>
      </c>
      <c r="K1173" s="1">
        <v>2</v>
      </c>
    </row>
    <row r="1174" spans="1:16" ht="15.75" customHeight="1">
      <c r="A1174" s="1" t="s">
        <v>0</v>
      </c>
      <c r="B1174" s="1" t="s">
        <v>3033</v>
      </c>
      <c r="C1174" s="1" t="s">
        <v>3034</v>
      </c>
      <c r="D1174" s="1" t="s">
        <v>58</v>
      </c>
      <c r="E1174" s="1" t="s">
        <v>3035</v>
      </c>
      <c r="F1174" s="1" t="s">
        <v>3036</v>
      </c>
      <c r="G1174" s="1">
        <v>63</v>
      </c>
      <c r="H1174" s="1">
        <v>0</v>
      </c>
      <c r="I1174" s="1">
        <v>2023</v>
      </c>
      <c r="J1174" s="1">
        <v>23</v>
      </c>
      <c r="K1174" s="1" t="s">
        <v>6</v>
      </c>
      <c r="L1174" s="1" t="s">
        <v>6</v>
      </c>
      <c r="M1174" s="1" t="s">
        <v>6</v>
      </c>
      <c r="N1174" s="1" t="s">
        <v>6</v>
      </c>
      <c r="O1174" s="1" t="s">
        <v>6</v>
      </c>
      <c r="P1174" s="1" t="s">
        <v>6</v>
      </c>
    </row>
    <row r="1175" spans="1:16" ht="15.75" customHeight="1">
      <c r="A1175" s="1" t="s">
        <v>0</v>
      </c>
      <c r="B1175" s="1" t="s">
        <v>4862</v>
      </c>
      <c r="C1175" s="1" t="s">
        <v>4863</v>
      </c>
      <c r="D1175" s="1" t="s">
        <v>4864</v>
      </c>
      <c r="E1175" s="1" t="s">
        <v>4865</v>
      </c>
      <c r="F1175" s="1" t="s">
        <v>4866</v>
      </c>
      <c r="G1175" s="1">
        <v>67</v>
      </c>
      <c r="H1175" s="1">
        <v>0</v>
      </c>
      <c r="I1175" s="1">
        <v>2023</v>
      </c>
      <c r="J1175" s="1">
        <v>41</v>
      </c>
      <c r="K1175" s="1" t="s">
        <v>1239</v>
      </c>
      <c r="L1175" s="1">
        <v>65</v>
      </c>
      <c r="M1175" s="1">
        <v>91</v>
      </c>
      <c r="N1175" s="1" t="s">
        <v>6</v>
      </c>
      <c r="O1175" s="1" t="s">
        <v>4867</v>
      </c>
      <c r="P1175" s="3" t="str">
        <f>HYPERLINK("http://dx.doi.org/10.1080/02619288.2023.2277587","http://dx.doi.org/10.1080/02619288.2023.2277587")</f>
        <v>http://dx.doi.org/10.1080/02619288.2023.2277587</v>
      </c>
    </row>
    <row r="1176" spans="1:16" ht="15.75" customHeight="1">
      <c r="A1176" s="1" t="s">
        <v>0</v>
      </c>
      <c r="B1176" s="1" t="s">
        <v>2600</v>
      </c>
      <c r="C1176" s="1" t="s">
        <v>2601</v>
      </c>
      <c r="D1176" s="1" t="s">
        <v>2602</v>
      </c>
      <c r="E1176" s="1" t="s">
        <v>2603</v>
      </c>
      <c r="F1176" s="1" t="s">
        <v>2604</v>
      </c>
      <c r="G1176" s="1">
        <v>59</v>
      </c>
      <c r="H1176" s="1">
        <v>0</v>
      </c>
      <c r="I1176" s="1">
        <v>2023</v>
      </c>
      <c r="J1176" s="1">
        <v>80</v>
      </c>
      <c r="K1176" s="1">
        <v>1</v>
      </c>
      <c r="L1176" s="1">
        <v>103</v>
      </c>
      <c r="M1176" s="1">
        <v>140</v>
      </c>
      <c r="N1176" s="1" t="s">
        <v>6</v>
      </c>
      <c r="O1176" s="1" t="s">
        <v>2605</v>
      </c>
      <c r="P1176" s="3" t="str">
        <f>HYPERLINK("http://dx.doi.org/10.3989/aeamer.2023.1.04","http://dx.doi.org/10.3989/aeamer.2023.1.04")</f>
        <v>http://dx.doi.org/10.3989/aeamer.2023.1.04</v>
      </c>
    </row>
    <row r="1177" spans="1:16" ht="15.75" customHeight="1">
      <c r="A1177" s="1" t="s">
        <v>0</v>
      </c>
      <c r="B1177" s="1" t="s">
        <v>4184</v>
      </c>
      <c r="C1177" s="1" t="s">
        <v>4185</v>
      </c>
      <c r="D1177" s="1" t="s">
        <v>803</v>
      </c>
      <c r="E1177" s="1" t="s">
        <v>4186</v>
      </c>
      <c r="F1177" s="1" t="s">
        <v>4187</v>
      </c>
      <c r="G1177" s="1">
        <v>45</v>
      </c>
      <c r="H1177" s="1">
        <v>0</v>
      </c>
      <c r="I1177" s="1">
        <v>2023</v>
      </c>
      <c r="J1177" s="1">
        <v>33</v>
      </c>
      <c r="K1177" s="1">
        <v>2</v>
      </c>
      <c r="L1177" s="1">
        <v>31</v>
      </c>
      <c r="M1177" s="1">
        <v>46</v>
      </c>
      <c r="N1177" s="1" t="s">
        <v>6</v>
      </c>
      <c r="O1177" s="1" t="s">
        <v>4188</v>
      </c>
      <c r="P1177" s="3" t="str">
        <f>HYPERLINK("http://dx.doi.org/10.15446/bitacora.v33n2.106777","http://dx.doi.org/10.15446/bitacora.v33n2.106777")</f>
        <v>http://dx.doi.org/10.15446/bitacora.v33n2.106777</v>
      </c>
    </row>
    <row r="1178" spans="1:16" ht="15.75" customHeight="1">
      <c r="A1178" s="1" t="s">
        <v>0</v>
      </c>
      <c r="B1178" s="1" t="s">
        <v>1504</v>
      </c>
      <c r="C1178" s="1" t="s">
        <v>1505</v>
      </c>
      <c r="D1178" s="1" t="s">
        <v>1506</v>
      </c>
      <c r="E1178" s="1" t="s">
        <v>1507</v>
      </c>
      <c r="F1178" s="1" t="s">
        <v>1508</v>
      </c>
      <c r="G1178" s="1">
        <v>48</v>
      </c>
      <c r="H1178" s="1">
        <v>0</v>
      </c>
      <c r="I1178" s="1">
        <v>2023</v>
      </c>
      <c r="J1178" s="1">
        <v>27</v>
      </c>
      <c r="K1178" s="1">
        <v>2</v>
      </c>
      <c r="L1178" s="1">
        <v>113</v>
      </c>
      <c r="M1178" s="1">
        <v>137</v>
      </c>
      <c r="N1178" s="1" t="s">
        <v>6</v>
      </c>
      <c r="O1178" s="1" t="s">
        <v>6</v>
      </c>
      <c r="P1178" s="1" t="s">
        <v>6</v>
      </c>
    </row>
    <row r="1179" spans="1:16" ht="15.75" customHeight="1">
      <c r="A1179" s="1" t="s">
        <v>0</v>
      </c>
      <c r="B1179" s="1" t="s">
        <v>5005</v>
      </c>
      <c r="C1179" s="1" t="s">
        <v>5006</v>
      </c>
      <c r="D1179" s="1" t="s">
        <v>572</v>
      </c>
      <c r="E1179" s="1" t="s">
        <v>5007</v>
      </c>
      <c r="F1179" s="1" t="s">
        <v>5008</v>
      </c>
      <c r="G1179" s="1">
        <v>68</v>
      </c>
      <c r="H1179" s="1">
        <v>0</v>
      </c>
      <c r="I1179" s="1">
        <v>2023</v>
      </c>
      <c r="J1179" s="1">
        <v>50</v>
      </c>
      <c r="K1179" s="1">
        <v>95</v>
      </c>
      <c r="L1179" s="1">
        <v>5</v>
      </c>
      <c r="M1179" s="1">
        <v>35</v>
      </c>
      <c r="N1179" s="1" t="s">
        <v>6</v>
      </c>
      <c r="O1179" s="1" t="s">
        <v>5009</v>
      </c>
      <c r="P1179" s="3" t="str">
        <f>HYPERLINK("http://dx.doi.org/10.21678/apuntes.95.1823","http://dx.doi.org/10.21678/apuntes.95.1823")</f>
        <v>http://dx.doi.org/10.21678/apuntes.95.1823</v>
      </c>
    </row>
    <row r="1180" spans="1:16" ht="15.75" customHeight="1">
      <c r="A1180" s="1" t="s">
        <v>0</v>
      </c>
      <c r="B1180" s="1" t="s">
        <v>456</v>
      </c>
      <c r="C1180" s="1" t="s">
        <v>457</v>
      </c>
      <c r="D1180" s="1" t="s">
        <v>458</v>
      </c>
      <c r="E1180" s="1" t="s">
        <v>459</v>
      </c>
      <c r="F1180" s="1" t="s">
        <v>460</v>
      </c>
      <c r="G1180" s="1">
        <v>58</v>
      </c>
      <c r="H1180" s="1">
        <v>0</v>
      </c>
      <c r="I1180" s="1">
        <v>2023</v>
      </c>
      <c r="J1180" s="1">
        <v>22</v>
      </c>
      <c r="K1180" s="1" t="s">
        <v>461</v>
      </c>
      <c r="O1180" s="1" t="s">
        <v>462</v>
      </c>
    </row>
    <row r="1181" spans="1:16" ht="15.75" customHeight="1">
      <c r="A1181" s="1" t="s">
        <v>10</v>
      </c>
      <c r="B1181" s="1" t="s">
        <v>5273</v>
      </c>
      <c r="C1181" s="1" t="s">
        <v>5274</v>
      </c>
      <c r="D1181" s="1" t="s">
        <v>5275</v>
      </c>
      <c r="E1181" s="1" t="s">
        <v>5276</v>
      </c>
      <c r="F1181" s="1" t="s">
        <v>5277</v>
      </c>
      <c r="H1181" s="1">
        <v>0</v>
      </c>
      <c r="I1181" s="1">
        <v>2023</v>
      </c>
      <c r="J1181" s="1">
        <v>20</v>
      </c>
      <c r="K1181" s="1">
        <v>4</v>
      </c>
      <c r="O1181" s="1" t="s">
        <v>5278</v>
      </c>
    </row>
    <row r="1182" spans="1:16" ht="15.75" customHeight="1">
      <c r="A1182" s="1" t="s">
        <v>0</v>
      </c>
      <c r="B1182" s="1" t="s">
        <v>6135</v>
      </c>
      <c r="C1182" s="1" t="s">
        <v>6136</v>
      </c>
      <c r="D1182" s="2" t="s">
        <v>6137</v>
      </c>
      <c r="E1182" s="1" t="s">
        <v>6138</v>
      </c>
      <c r="F1182" s="1" t="s">
        <v>6139</v>
      </c>
      <c r="G1182" s="1">
        <v>64</v>
      </c>
      <c r="H1182" s="1">
        <v>0</v>
      </c>
      <c r="I1182" s="1">
        <v>2023</v>
      </c>
      <c r="J1182" s="1">
        <v>40</v>
      </c>
      <c r="O1182" s="1" t="s">
        <v>6140</v>
      </c>
    </row>
    <row r="1183" spans="1:16" ht="15.75" customHeight="1">
      <c r="A1183" s="1" t="s">
        <v>0</v>
      </c>
      <c r="B1183" s="1" t="s">
        <v>1211</v>
      </c>
      <c r="C1183" s="1" t="s">
        <v>1212</v>
      </c>
      <c r="D1183" s="1" t="s">
        <v>572</v>
      </c>
      <c r="E1183" s="1" t="s">
        <v>1213</v>
      </c>
      <c r="F1183" s="1" t="s">
        <v>1214</v>
      </c>
      <c r="G1183" s="1">
        <v>57</v>
      </c>
      <c r="H1183" s="1">
        <v>0</v>
      </c>
      <c r="I1183" s="1">
        <v>2023</v>
      </c>
      <c r="J1183" s="1">
        <v>50</v>
      </c>
      <c r="K1183" s="1">
        <v>95</v>
      </c>
      <c r="L1183" s="1">
        <v>37</v>
      </c>
      <c r="M1183" s="1">
        <v>73</v>
      </c>
      <c r="N1183" s="1" t="s">
        <v>6</v>
      </c>
      <c r="O1183" s="1" t="s">
        <v>1215</v>
      </c>
      <c r="P1183" s="3" t="str">
        <f>HYPERLINK("http://dx.doi.org/10.21678/apuntes.95.1832","http://dx.doi.org/10.21678/apuntes.95.1832")</f>
        <v>http://dx.doi.org/10.21678/apuntes.95.1832</v>
      </c>
    </row>
    <row r="1184" spans="1:16" ht="15.75" customHeight="1">
      <c r="A1184" s="1" t="s">
        <v>10</v>
      </c>
      <c r="B1184" s="1" t="s">
        <v>688</v>
      </c>
      <c r="C1184" s="1" t="s">
        <v>689</v>
      </c>
      <c r="D1184" s="1" t="s">
        <v>690</v>
      </c>
      <c r="E1184" s="1" t="s">
        <v>691</v>
      </c>
      <c r="F1184" s="1" t="s">
        <v>692</v>
      </c>
      <c r="H1184" s="1">
        <v>0</v>
      </c>
      <c r="I1184" s="1">
        <v>2023</v>
      </c>
      <c r="J1184" s="1">
        <v>15</v>
      </c>
      <c r="K1184" s="1">
        <v>2</v>
      </c>
      <c r="O1184" s="1" t="s">
        <v>693</v>
      </c>
    </row>
    <row r="1185" spans="1:16" ht="15.75" customHeight="1">
      <c r="A1185" s="1" t="s">
        <v>0</v>
      </c>
      <c r="B1185" s="1" t="s">
        <v>4490</v>
      </c>
      <c r="C1185" s="1" t="s">
        <v>4491</v>
      </c>
      <c r="D1185" s="1" t="s">
        <v>1364</v>
      </c>
      <c r="E1185" s="1" t="s">
        <v>4492</v>
      </c>
      <c r="F1185" s="1" t="s">
        <v>4493</v>
      </c>
      <c r="G1185" s="1">
        <v>56</v>
      </c>
      <c r="H1185" s="1">
        <v>0</v>
      </c>
      <c r="I1185" s="1">
        <v>2023</v>
      </c>
      <c r="J1185" s="1">
        <v>17</v>
      </c>
      <c r="K1185" s="1" t="s">
        <v>6</v>
      </c>
      <c r="L1185" s="1" t="s">
        <v>6</v>
      </c>
      <c r="M1185" s="1" t="s">
        <v>6</v>
      </c>
      <c r="N1185" s="1" t="s">
        <v>4494</v>
      </c>
      <c r="O1185" s="1" t="s">
        <v>4495</v>
      </c>
      <c r="P1185" s="3" t="str">
        <f>HYPERLINK("http://dx.doi.org/10.31406/relap2023.v17.e202222","http://dx.doi.org/10.31406/relap2023.v17.e202222")</f>
        <v>http://dx.doi.org/10.31406/relap2023.v17.e202222</v>
      </c>
    </row>
    <row r="1186" spans="1:16" ht="15.75" customHeight="1">
      <c r="A1186" s="1" t="s">
        <v>0</v>
      </c>
      <c r="B1186" s="1" t="s">
        <v>3053</v>
      </c>
      <c r="C1186" s="1" t="s">
        <v>3054</v>
      </c>
      <c r="D1186" s="1" t="s">
        <v>996</v>
      </c>
      <c r="E1186" s="1" t="s">
        <v>3055</v>
      </c>
      <c r="F1186" s="1" t="s">
        <v>3056</v>
      </c>
      <c r="G1186" s="1">
        <v>34</v>
      </c>
      <c r="H1186" s="1">
        <v>0</v>
      </c>
      <c r="I1186" s="1">
        <v>2023</v>
      </c>
      <c r="J1186" s="1">
        <v>33</v>
      </c>
      <c r="K1186" s="1">
        <v>1</v>
      </c>
      <c r="L1186" s="1">
        <v>300</v>
      </c>
      <c r="M1186" s="1">
        <v>327</v>
      </c>
      <c r="N1186" s="1" t="s">
        <v>6</v>
      </c>
      <c r="O1186" s="1" t="s">
        <v>3057</v>
      </c>
      <c r="P1186" s="3" t="str">
        <f>HYPERLINK("http://dx.doi.org/10.7770/CUHSD-V33N1-ART629","http://dx.doi.org/10.7770/CUHSD-V33N1-ART629")</f>
        <v>http://dx.doi.org/10.7770/CUHSD-V33N1-ART629</v>
      </c>
    </row>
    <row r="1187" spans="1:16" ht="15.75" customHeight="1">
      <c r="A1187" s="1" t="s">
        <v>10</v>
      </c>
      <c r="B1187" s="1" t="s">
        <v>251</v>
      </c>
      <c r="C1187" s="1" t="s">
        <v>252</v>
      </c>
      <c r="D1187" s="1" t="s">
        <v>27</v>
      </c>
      <c r="E1187" s="1" t="s">
        <v>253</v>
      </c>
      <c r="F1187" s="1" t="s">
        <v>254</v>
      </c>
      <c r="H1187" s="1">
        <v>0</v>
      </c>
      <c r="I1187" s="1">
        <v>2023</v>
      </c>
      <c r="J1187" s="1">
        <v>15</v>
      </c>
      <c r="K1187" s="1">
        <v>5</v>
      </c>
      <c r="O1187" s="1" t="s">
        <v>255</v>
      </c>
    </row>
    <row r="1188" spans="1:16" ht="15.75" customHeight="1">
      <c r="A1188" s="1" t="s">
        <v>0</v>
      </c>
      <c r="B1188" s="1" t="s">
        <v>5652</v>
      </c>
      <c r="C1188" s="1" t="s">
        <v>5653</v>
      </c>
      <c r="D1188" s="1" t="s">
        <v>732</v>
      </c>
      <c r="E1188" s="1" t="s">
        <v>5654</v>
      </c>
      <c r="F1188" s="1" t="s">
        <v>5655</v>
      </c>
      <c r="G1188" s="1">
        <v>44</v>
      </c>
      <c r="H1188" s="1">
        <v>0</v>
      </c>
      <c r="I1188" s="1">
        <v>2023</v>
      </c>
      <c r="J1188" s="1">
        <v>31</v>
      </c>
      <c r="K1188" s="1" t="s">
        <v>942</v>
      </c>
      <c r="O1188" s="1" t="s">
        <v>5656</v>
      </c>
    </row>
    <row r="1189" spans="1:16" ht="15.75" customHeight="1">
      <c r="A1189" s="1" t="s">
        <v>0</v>
      </c>
      <c r="B1189" s="1" t="s">
        <v>3668</v>
      </c>
      <c r="C1189" s="1" t="s">
        <v>3669</v>
      </c>
      <c r="D1189" s="1" t="s">
        <v>3670</v>
      </c>
      <c r="E1189" s="1" t="s">
        <v>3671</v>
      </c>
      <c r="F1189" s="1" t="s">
        <v>3672</v>
      </c>
      <c r="G1189" s="1">
        <v>69</v>
      </c>
      <c r="H1189" s="1">
        <v>0</v>
      </c>
      <c r="I1189" s="1">
        <v>2023</v>
      </c>
      <c r="J1189" s="1">
        <v>21</v>
      </c>
      <c r="K1189" s="1">
        <v>1</v>
      </c>
      <c r="L1189" s="1" t="s">
        <v>6</v>
      </c>
      <c r="M1189" s="1" t="s">
        <v>6</v>
      </c>
      <c r="N1189" s="1">
        <v>52797</v>
      </c>
      <c r="O1189" s="1" t="s">
        <v>3673</v>
      </c>
      <c r="P1189" s="3" t="str">
        <f>HYPERLINK("http://dx.doi.org/10.15517/psm.v21i1.52797","http://dx.doi.org/10.15517/psm.v21i1.52797")</f>
        <v>http://dx.doi.org/10.15517/psm.v21i1.52797</v>
      </c>
    </row>
    <row r="1190" spans="1:16" ht="15.75" customHeight="1">
      <c r="A1190" s="1" t="s">
        <v>0</v>
      </c>
      <c r="B1190" s="1" t="s">
        <v>3609</v>
      </c>
      <c r="C1190" s="1" t="s">
        <v>3610</v>
      </c>
      <c r="D1190" s="1" t="s">
        <v>195</v>
      </c>
      <c r="E1190" s="1" t="s">
        <v>3611</v>
      </c>
      <c r="F1190" s="1" t="s">
        <v>3612</v>
      </c>
      <c r="G1190" s="1">
        <v>57</v>
      </c>
      <c r="H1190" s="1">
        <v>0</v>
      </c>
      <c r="I1190" s="1">
        <v>2023</v>
      </c>
      <c r="J1190" s="1">
        <v>55</v>
      </c>
      <c r="K1190" s="1">
        <v>2</v>
      </c>
      <c r="L1190" s="1">
        <v>321</v>
      </c>
      <c r="M1190" s="1">
        <v>334</v>
      </c>
      <c r="N1190" s="1" t="s">
        <v>6</v>
      </c>
      <c r="O1190" s="1" t="s">
        <v>3613</v>
      </c>
      <c r="P1190" s="3" t="str">
        <f>HYPERLINK("http://dx.doi.org/10.4067/S0717-73562023005000502","http://dx.doi.org/10.4067/S0717-73562023005000502")</f>
        <v>http://dx.doi.org/10.4067/S0717-73562023005000502</v>
      </c>
    </row>
    <row r="1191" spans="1:16" ht="15.75" customHeight="1">
      <c r="A1191" s="1" t="s">
        <v>0</v>
      </c>
      <c r="B1191" s="1" t="s">
        <v>2518</v>
      </c>
      <c r="C1191" s="1" t="s">
        <v>2519</v>
      </c>
      <c r="D1191" s="1" t="s">
        <v>668</v>
      </c>
      <c r="E1191" s="1" t="s">
        <v>2520</v>
      </c>
      <c r="F1191" s="1" t="s">
        <v>2521</v>
      </c>
      <c r="G1191" s="1">
        <v>60</v>
      </c>
      <c r="H1191" s="1">
        <v>0</v>
      </c>
      <c r="I1191" s="1">
        <v>2023</v>
      </c>
      <c r="J1191" s="1">
        <v>18</v>
      </c>
      <c r="O1191" s="1" t="s">
        <v>2522</v>
      </c>
    </row>
    <row r="1192" spans="1:16" ht="15.75" customHeight="1">
      <c r="A1192" s="1" t="s">
        <v>0</v>
      </c>
      <c r="B1192" s="1" t="s">
        <v>6178</v>
      </c>
      <c r="C1192" s="1" t="s">
        <v>6179</v>
      </c>
      <c r="D1192" s="1" t="s">
        <v>2910</v>
      </c>
      <c r="E1192" s="1" t="s">
        <v>6180</v>
      </c>
      <c r="F1192" s="1" t="s">
        <v>6181</v>
      </c>
      <c r="G1192" s="1">
        <v>54</v>
      </c>
      <c r="H1192" s="1">
        <v>0</v>
      </c>
      <c r="I1192" s="1">
        <v>2023</v>
      </c>
      <c r="J1192" s="1">
        <v>24</v>
      </c>
      <c r="K1192" s="1" t="s">
        <v>6</v>
      </c>
      <c r="L1192" s="1" t="s">
        <v>6</v>
      </c>
      <c r="M1192" s="1" t="s">
        <v>6</v>
      </c>
      <c r="N1192" s="1" t="s">
        <v>6182</v>
      </c>
      <c r="O1192" s="1" t="s">
        <v>6183</v>
      </c>
      <c r="P1192" s="3" t="str">
        <f>HYPERLINK("http://dx.doi.org/10.21670/ref.2303114","http://dx.doi.org/10.21670/ref.2303114")</f>
        <v>http://dx.doi.org/10.21670/ref.2303114</v>
      </c>
    </row>
    <row r="1193" spans="1:16" ht="15.75" customHeight="1">
      <c r="A1193" s="1" t="s">
        <v>0</v>
      </c>
      <c r="B1193" s="1" t="s">
        <v>737</v>
      </c>
      <c r="C1193" s="1" t="s">
        <v>738</v>
      </c>
      <c r="D1193" s="1" t="s">
        <v>58</v>
      </c>
      <c r="E1193" s="1" t="s">
        <v>739</v>
      </c>
      <c r="F1193" s="1" t="s">
        <v>740</v>
      </c>
      <c r="G1193" s="1">
        <v>51</v>
      </c>
      <c r="H1193" s="1">
        <v>0</v>
      </c>
      <c r="I1193" s="1">
        <v>2023</v>
      </c>
      <c r="J1193" s="1">
        <v>23</v>
      </c>
      <c r="K1193" s="1" t="s">
        <v>6</v>
      </c>
      <c r="L1193" s="1" t="s">
        <v>6</v>
      </c>
      <c r="M1193" s="1" t="s">
        <v>6</v>
      </c>
      <c r="N1193" s="1" t="s">
        <v>6</v>
      </c>
      <c r="O1193" s="1" t="s">
        <v>6</v>
      </c>
      <c r="P1193" s="1" t="s">
        <v>6</v>
      </c>
    </row>
    <row r="1194" spans="1:16" ht="15.75" customHeight="1">
      <c r="A1194" s="1" t="s">
        <v>0</v>
      </c>
      <c r="B1194" s="1" t="s">
        <v>2743</v>
      </c>
      <c r="C1194" s="1" t="s">
        <v>2744</v>
      </c>
      <c r="D1194" s="1" t="s">
        <v>836</v>
      </c>
      <c r="E1194" s="1" t="s">
        <v>2745</v>
      </c>
      <c r="F1194" s="1" t="s">
        <v>2746</v>
      </c>
      <c r="G1194" s="1">
        <v>49</v>
      </c>
      <c r="H1194" s="1">
        <v>0</v>
      </c>
      <c r="I1194" s="1">
        <v>2023</v>
      </c>
      <c r="J1194" s="1">
        <v>15</v>
      </c>
      <c r="K1194" s="1">
        <v>1</v>
      </c>
      <c r="L1194" s="1">
        <v>231</v>
      </c>
      <c r="M1194" s="1">
        <v>263</v>
      </c>
      <c r="N1194" s="1" t="s">
        <v>6</v>
      </c>
      <c r="O1194" s="1" t="s">
        <v>2747</v>
      </c>
      <c r="P1194" s="3" t="str">
        <f>HYPERLINK("http://dx.doi.org/10.6092/issn.2036-0967/14516","http://dx.doi.org/10.6092/issn.2036-0967/14516")</f>
        <v>http://dx.doi.org/10.6092/issn.2036-0967/14516</v>
      </c>
    </row>
    <row r="1195" spans="1:16" ht="15.75" customHeight="1">
      <c r="A1195" s="1" t="s">
        <v>0</v>
      </c>
      <c r="B1195" s="1" t="s">
        <v>4134</v>
      </c>
      <c r="C1195" s="1" t="s">
        <v>4135</v>
      </c>
      <c r="D1195" s="1" t="s">
        <v>4136</v>
      </c>
      <c r="E1195" s="1" t="s">
        <v>4137</v>
      </c>
      <c r="F1195" s="1" t="s">
        <v>4138</v>
      </c>
      <c r="G1195" s="1">
        <v>52</v>
      </c>
      <c r="H1195" s="1">
        <v>0</v>
      </c>
      <c r="I1195" s="1">
        <v>2023</v>
      </c>
      <c r="J1195" s="1">
        <v>84</v>
      </c>
      <c r="K1195" s="1">
        <v>294</v>
      </c>
      <c r="L1195" s="1" t="s">
        <v>6</v>
      </c>
      <c r="M1195" s="1" t="s">
        <v>6</v>
      </c>
      <c r="N1195" s="1" t="s">
        <v>6</v>
      </c>
      <c r="O1195" s="1" t="s">
        <v>4139</v>
      </c>
      <c r="P1195" s="3" t="str">
        <f>HYPERLINK("http://dx.doi.org/10.3989/estgeogr.2023132.132","http://dx.doi.org/10.3989/estgeogr.2023132.132")</f>
        <v>http://dx.doi.org/10.3989/estgeogr.2023132.132</v>
      </c>
    </row>
    <row r="1196" spans="1:16" ht="15.75" customHeight="1">
      <c r="A1196" s="1" t="s">
        <v>0</v>
      </c>
      <c r="B1196" s="1" t="s">
        <v>4831</v>
      </c>
      <c r="C1196" s="1" t="s">
        <v>4832</v>
      </c>
      <c r="D1196" s="1" t="s">
        <v>4833</v>
      </c>
      <c r="E1196" s="1" t="s">
        <v>4834</v>
      </c>
      <c r="F1196" s="1" t="s">
        <v>4835</v>
      </c>
      <c r="G1196" s="1">
        <v>18</v>
      </c>
      <c r="H1196" s="1">
        <v>0</v>
      </c>
      <c r="I1196" s="1">
        <v>2023</v>
      </c>
      <c r="J1196" s="1" t="s">
        <v>6</v>
      </c>
      <c r="K1196" s="1">
        <v>27</v>
      </c>
      <c r="L1196" s="1" t="s">
        <v>6</v>
      </c>
      <c r="M1196" s="1" t="s">
        <v>6</v>
      </c>
      <c r="N1196" s="1" t="s">
        <v>6</v>
      </c>
      <c r="O1196" s="1" t="s">
        <v>6</v>
      </c>
      <c r="P1196" s="1" t="s">
        <v>6</v>
      </c>
    </row>
    <row r="1197" spans="1:16" ht="15.75" customHeight="1">
      <c r="A1197" s="1" t="s">
        <v>0</v>
      </c>
      <c r="B1197" s="1" t="s">
        <v>104</v>
      </c>
      <c r="C1197" s="1" t="s">
        <v>105</v>
      </c>
      <c r="D1197" s="1" t="s">
        <v>106</v>
      </c>
      <c r="E1197" s="1" t="s">
        <v>107</v>
      </c>
      <c r="F1197" s="1" t="s">
        <v>108</v>
      </c>
      <c r="G1197" s="1">
        <v>39</v>
      </c>
      <c r="H1197" s="1">
        <v>0</v>
      </c>
      <c r="I1197" s="1">
        <v>2023</v>
      </c>
      <c r="J1197" s="1">
        <v>23</v>
      </c>
      <c r="K1197" s="1" t="s">
        <v>61</v>
      </c>
      <c r="O1197" s="1" t="s">
        <v>109</v>
      </c>
    </row>
    <row r="1198" spans="1:16" ht="15.75" customHeight="1">
      <c r="A1198" s="1" t="s">
        <v>0</v>
      </c>
      <c r="B1198" s="1" t="s">
        <v>600</v>
      </c>
      <c r="C1198" s="2" t="s">
        <v>601</v>
      </c>
      <c r="D1198" s="2" t="s">
        <v>602</v>
      </c>
      <c r="E1198" s="1" t="s">
        <v>603</v>
      </c>
      <c r="F1198" s="1" t="s">
        <v>604</v>
      </c>
      <c r="G1198" s="1">
        <v>64</v>
      </c>
      <c r="H1198" s="1">
        <v>0</v>
      </c>
      <c r="I1198" s="1">
        <v>2023</v>
      </c>
      <c r="J1198" s="1">
        <v>38</v>
      </c>
      <c r="K1198" s="1" t="s">
        <v>605</v>
      </c>
      <c r="O1198" s="1" t="s">
        <v>606</v>
      </c>
    </row>
    <row r="1199" spans="1:16" ht="15.75" customHeight="1">
      <c r="A1199" s="1" t="s">
        <v>0</v>
      </c>
      <c r="B1199" s="1" t="s">
        <v>5200</v>
      </c>
      <c r="C1199" s="1" t="s">
        <v>5201</v>
      </c>
      <c r="D1199" s="1" t="s">
        <v>5202</v>
      </c>
      <c r="E1199" s="1" t="s">
        <v>5203</v>
      </c>
      <c r="F1199" s="1" t="s">
        <v>5204</v>
      </c>
      <c r="G1199" s="1">
        <v>27</v>
      </c>
      <c r="H1199" s="1">
        <v>0</v>
      </c>
      <c r="I1199" s="1">
        <v>2023</v>
      </c>
      <c r="J1199" s="1">
        <v>21</v>
      </c>
      <c r="K1199" s="1">
        <v>83</v>
      </c>
      <c r="L1199" s="1">
        <v>1</v>
      </c>
      <c r="M1199" s="1">
        <v>18</v>
      </c>
      <c r="N1199" s="1" t="s">
        <v>6</v>
      </c>
      <c r="O1199" s="1" t="s">
        <v>6</v>
      </c>
      <c r="P1199" s="1" t="s">
        <v>6</v>
      </c>
    </row>
    <row r="1200" spans="1:16" ht="15.75" customHeight="1">
      <c r="A1200" s="1" t="s">
        <v>0</v>
      </c>
      <c r="B1200" s="1" t="s">
        <v>1549</v>
      </c>
      <c r="C1200" s="1" t="s">
        <v>1550</v>
      </c>
      <c r="D1200" s="1" t="s">
        <v>732</v>
      </c>
      <c r="E1200" s="1" t="s">
        <v>1551</v>
      </c>
      <c r="F1200" s="1" t="s">
        <v>1552</v>
      </c>
      <c r="G1200" s="1">
        <v>66</v>
      </c>
      <c r="H1200" s="1">
        <v>0</v>
      </c>
      <c r="I1200" s="1">
        <v>2023</v>
      </c>
      <c r="J1200" s="1">
        <v>31</v>
      </c>
      <c r="K1200" s="1" t="s">
        <v>1553</v>
      </c>
      <c r="O1200" s="1" t="s">
        <v>1542</v>
      </c>
    </row>
    <row r="1201" spans="1:16" ht="15.75" customHeight="1">
      <c r="A1201" s="1" t="s">
        <v>10</v>
      </c>
      <c r="B1201" s="1" t="s">
        <v>1926</v>
      </c>
      <c r="C1201" s="1" t="s">
        <v>1927</v>
      </c>
      <c r="D1201" s="1" t="s">
        <v>473</v>
      </c>
      <c r="E1201" s="1" t="s">
        <v>1928</v>
      </c>
      <c r="F1201" s="1" t="s">
        <v>1929</v>
      </c>
      <c r="H1201" s="1">
        <v>0</v>
      </c>
      <c r="I1201" s="1">
        <v>2023</v>
      </c>
      <c r="J1201" s="1">
        <v>49</v>
      </c>
      <c r="K1201" s="1">
        <v>146</v>
      </c>
      <c r="O1201" s="1" t="s">
        <v>1930</v>
      </c>
    </row>
    <row r="1202" spans="1:16" ht="15.75" customHeight="1">
      <c r="A1202" s="1" t="s">
        <v>10</v>
      </c>
      <c r="B1202" s="1" t="s">
        <v>4621</v>
      </c>
      <c r="C1202" s="1" t="s">
        <v>4622</v>
      </c>
      <c r="D1202" s="1" t="s">
        <v>2987</v>
      </c>
      <c r="E1202" s="1" t="s">
        <v>4623</v>
      </c>
      <c r="F1202" s="1" t="s">
        <v>4624</v>
      </c>
      <c r="H1202" s="1">
        <v>0</v>
      </c>
      <c r="I1202" s="1">
        <v>2023</v>
      </c>
      <c r="J1202" s="1">
        <v>38</v>
      </c>
      <c r="K1202" s="1">
        <v>108</v>
      </c>
      <c r="O1202" s="1" t="s">
        <v>4625</v>
      </c>
    </row>
    <row r="1203" spans="1:16" ht="15.75" customHeight="1">
      <c r="A1203" s="1" t="s">
        <v>0</v>
      </c>
      <c r="B1203" s="1" t="s">
        <v>5606</v>
      </c>
      <c r="C1203" s="1" t="s">
        <v>5607</v>
      </c>
      <c r="D1203" s="1" t="s">
        <v>5608</v>
      </c>
      <c r="E1203" s="1" t="s">
        <v>5609</v>
      </c>
      <c r="F1203" s="1" t="s">
        <v>5610</v>
      </c>
      <c r="G1203" s="1">
        <v>55</v>
      </c>
      <c r="H1203" s="1">
        <v>0</v>
      </c>
      <c r="I1203" s="1">
        <v>2023</v>
      </c>
      <c r="J1203" s="1">
        <v>10</v>
      </c>
      <c r="K1203" s="1">
        <v>2</v>
      </c>
      <c r="L1203" s="1" t="s">
        <v>6</v>
      </c>
      <c r="M1203" s="1" t="s">
        <v>6</v>
      </c>
      <c r="N1203" s="1" t="s">
        <v>6</v>
      </c>
      <c r="O1203" s="1" t="s">
        <v>5611</v>
      </c>
      <c r="P1203" s="3" t="str">
        <f>HYPERLINK("http://dx.doi.org/10.15648/Collectivus.vol10num2.2023.3801","http://dx.doi.org/10.15648/Collectivus.vol10num2.2023.3801")</f>
        <v>http://dx.doi.org/10.15648/Collectivus.vol10num2.2023.3801</v>
      </c>
    </row>
    <row r="1204" spans="1:16" ht="15.75" customHeight="1">
      <c r="A1204" s="1" t="s">
        <v>0</v>
      </c>
      <c r="B1204" s="1" t="s">
        <v>666</v>
      </c>
      <c r="C1204" s="1" t="s">
        <v>667</v>
      </c>
      <c r="D1204" s="1" t="s">
        <v>668</v>
      </c>
      <c r="E1204" s="1" t="s">
        <v>669</v>
      </c>
      <c r="F1204" s="1" t="s">
        <v>670</v>
      </c>
      <c r="G1204" s="1">
        <v>74</v>
      </c>
      <c r="H1204" s="1">
        <v>0</v>
      </c>
      <c r="I1204" s="1">
        <v>2023</v>
      </c>
      <c r="J1204" s="1">
        <v>18</v>
      </c>
      <c r="O1204" s="1" t="s">
        <v>671</v>
      </c>
    </row>
    <row r="1205" spans="1:16" ht="15.75" customHeight="1">
      <c r="A1205" s="1" t="s">
        <v>10</v>
      </c>
      <c r="B1205" s="1" t="s">
        <v>3186</v>
      </c>
      <c r="C1205" s="1" t="s">
        <v>3187</v>
      </c>
      <c r="D1205" s="1" t="s">
        <v>968</v>
      </c>
      <c r="E1205" s="1" t="s">
        <v>3188</v>
      </c>
      <c r="F1205" s="1" t="s">
        <v>3189</v>
      </c>
      <c r="H1205" s="1">
        <v>0</v>
      </c>
      <c r="I1205" s="1">
        <v>2023</v>
      </c>
      <c r="J1205" s="1">
        <v>33</v>
      </c>
      <c r="K1205" s="1">
        <v>2</v>
      </c>
      <c r="O1205" s="1" t="s">
        <v>3190</v>
      </c>
    </row>
    <row r="1206" spans="1:16" ht="15.75" customHeight="1">
      <c r="A1206" s="1" t="s">
        <v>0</v>
      </c>
      <c r="B1206" s="1" t="s">
        <v>613</v>
      </c>
      <c r="C1206" s="1" t="s">
        <v>614</v>
      </c>
      <c r="D1206" s="1" t="s">
        <v>615</v>
      </c>
      <c r="E1206" s="1" t="s">
        <v>616</v>
      </c>
      <c r="F1206" s="1" t="s">
        <v>617</v>
      </c>
      <c r="G1206" s="1">
        <v>13</v>
      </c>
      <c r="H1206" s="1">
        <v>0</v>
      </c>
      <c r="I1206" s="1">
        <v>2023</v>
      </c>
      <c r="J1206" s="1">
        <v>27</v>
      </c>
      <c r="K1206" s="1" t="s">
        <v>6</v>
      </c>
      <c r="L1206" s="1" t="s">
        <v>6</v>
      </c>
      <c r="M1206" s="1" t="s">
        <v>6</v>
      </c>
      <c r="N1206" s="1" t="s">
        <v>618</v>
      </c>
      <c r="O1206" s="1" t="s">
        <v>619</v>
      </c>
      <c r="P1206" s="3" t="str">
        <f>HYPERLINK("http://dx.doi.org/10.22633/rpge.v27i00.18667","http://dx.doi.org/10.22633/rpge.v27i00.18667")</f>
        <v>http://dx.doi.org/10.22633/rpge.v27i00.18667</v>
      </c>
    </row>
    <row r="1207" spans="1:16" ht="15.75" customHeight="1">
      <c r="A1207" s="1" t="s">
        <v>0</v>
      </c>
      <c r="B1207" s="1" t="s">
        <v>2662</v>
      </c>
      <c r="C1207" s="1" t="s">
        <v>2663</v>
      </c>
      <c r="D1207" s="1" t="s">
        <v>2664</v>
      </c>
      <c r="E1207" s="1" t="s">
        <v>2665</v>
      </c>
      <c r="F1207" s="1" t="s">
        <v>2666</v>
      </c>
      <c r="G1207" s="1">
        <v>94</v>
      </c>
      <c r="H1207" s="1">
        <v>0</v>
      </c>
      <c r="I1207" s="1">
        <v>2023</v>
      </c>
      <c r="J1207" s="1">
        <v>10</v>
      </c>
      <c r="K1207" s="1">
        <v>1</v>
      </c>
      <c r="L1207" s="1">
        <v>37</v>
      </c>
      <c r="M1207" s="1">
        <v>66</v>
      </c>
      <c r="N1207" s="1">
        <v>40866</v>
      </c>
      <c r="O1207" s="1" t="s">
        <v>2667</v>
      </c>
      <c r="P1207" s="3" t="str">
        <f>HYPERLINK("http://dx.doi.org/10.47456/simbitica.v10i1.40866","http://dx.doi.org/10.47456/simbitica.v10i1.40866")</f>
        <v>http://dx.doi.org/10.47456/simbitica.v10i1.40866</v>
      </c>
    </row>
    <row r="1208" spans="1:16" ht="15.75" customHeight="1">
      <c r="A1208" s="1" t="s">
        <v>0</v>
      </c>
      <c r="B1208" s="1" t="s">
        <v>4286</v>
      </c>
      <c r="C1208" s="1" t="s">
        <v>4287</v>
      </c>
      <c r="D1208" s="1" t="s">
        <v>4288</v>
      </c>
      <c r="E1208" s="1" t="s">
        <v>4289</v>
      </c>
      <c r="F1208" s="1" t="s">
        <v>4290</v>
      </c>
      <c r="G1208" s="1">
        <v>46</v>
      </c>
      <c r="H1208" s="1">
        <v>0</v>
      </c>
      <c r="I1208" s="1">
        <v>2023</v>
      </c>
      <c r="J1208" s="1" t="s">
        <v>6</v>
      </c>
      <c r="K1208" s="1">
        <v>58</v>
      </c>
      <c r="L1208" s="1">
        <v>15</v>
      </c>
      <c r="M1208" s="1">
        <v>34</v>
      </c>
      <c r="N1208" s="1" t="s">
        <v>6</v>
      </c>
      <c r="O1208" s="1" t="s">
        <v>6</v>
      </c>
      <c r="P1208" s="1" t="s">
        <v>6</v>
      </c>
    </row>
    <row r="1209" spans="1:16" ht="15.75" customHeight="1">
      <c r="A1209" s="1" t="s">
        <v>0</v>
      </c>
      <c r="B1209" s="1" t="s">
        <v>4419</v>
      </c>
      <c r="C1209" s="1" t="s">
        <v>4420</v>
      </c>
      <c r="D1209" s="1" t="s">
        <v>4421</v>
      </c>
      <c r="E1209" s="1" t="s">
        <v>4422</v>
      </c>
      <c r="F1209" s="1" t="s">
        <v>4423</v>
      </c>
      <c r="G1209" s="1">
        <v>62</v>
      </c>
      <c r="H1209" s="1">
        <v>0</v>
      </c>
      <c r="I1209" s="1">
        <v>2023</v>
      </c>
      <c r="J1209" s="1" t="s">
        <v>6</v>
      </c>
      <c r="K1209" s="1">
        <v>134</v>
      </c>
      <c r="L1209" s="1">
        <v>57</v>
      </c>
      <c r="M1209" s="1">
        <v>66</v>
      </c>
      <c r="N1209" s="1" t="s">
        <v>6</v>
      </c>
      <c r="O1209" s="1" t="s">
        <v>6</v>
      </c>
      <c r="P1209" s="1" t="s">
        <v>6</v>
      </c>
    </row>
    <row r="1210" spans="1:16" ht="15.75" customHeight="1">
      <c r="A1210" s="1" t="s">
        <v>0</v>
      </c>
      <c r="B1210" s="1" t="s">
        <v>5431</v>
      </c>
      <c r="C1210" s="1" t="s">
        <v>5432</v>
      </c>
      <c r="D1210" s="1" t="s">
        <v>572</v>
      </c>
      <c r="E1210" s="1" t="s">
        <v>5433</v>
      </c>
      <c r="F1210" s="1" t="s">
        <v>5434</v>
      </c>
      <c r="G1210" s="1">
        <v>51</v>
      </c>
      <c r="H1210" s="1">
        <v>0</v>
      </c>
      <c r="I1210" s="1">
        <v>2023</v>
      </c>
      <c r="J1210" s="1">
        <v>50</v>
      </c>
      <c r="K1210" s="1">
        <v>93</v>
      </c>
      <c r="L1210" s="1">
        <v>5</v>
      </c>
      <c r="M1210" s="1">
        <v>33</v>
      </c>
      <c r="N1210" s="1" t="s">
        <v>6</v>
      </c>
      <c r="O1210" s="1" t="s">
        <v>5435</v>
      </c>
      <c r="P1210" s="3" t="str">
        <f>HYPERLINK("http://dx.doi.org/10.21678/apuntes.93.1498","http://dx.doi.org/10.21678/apuntes.93.1498")</f>
        <v>http://dx.doi.org/10.21678/apuntes.93.1498</v>
      </c>
    </row>
    <row r="1211" spans="1:16" ht="15.75" customHeight="1">
      <c r="A1211" s="1" t="s">
        <v>0</v>
      </c>
      <c r="B1211" s="1" t="s">
        <v>4893</v>
      </c>
      <c r="C1211" s="1" t="s">
        <v>4894</v>
      </c>
      <c r="D1211" s="1" t="s">
        <v>52</v>
      </c>
      <c r="E1211" s="1" t="s">
        <v>4895</v>
      </c>
      <c r="F1211" s="1" t="s">
        <v>4896</v>
      </c>
      <c r="G1211" s="1">
        <v>88</v>
      </c>
      <c r="H1211" s="1">
        <v>0</v>
      </c>
      <c r="I1211" s="1">
        <v>2023</v>
      </c>
      <c r="J1211" s="1">
        <v>22</v>
      </c>
      <c r="K1211" s="1" t="s">
        <v>191</v>
      </c>
      <c r="O1211" s="1" t="s">
        <v>4897</v>
      </c>
    </row>
    <row r="1212" spans="1:16" ht="15.75" customHeight="1">
      <c r="A1212" s="1" t="s">
        <v>0</v>
      </c>
      <c r="B1212" s="1" t="s">
        <v>6441</v>
      </c>
      <c r="C1212" s="1" t="s">
        <v>6442</v>
      </c>
      <c r="D1212" s="1" t="s">
        <v>6443</v>
      </c>
      <c r="E1212" s="1" t="s">
        <v>6444</v>
      </c>
      <c r="F1212" s="1" t="s">
        <v>6445</v>
      </c>
      <c r="G1212" s="1">
        <v>47</v>
      </c>
      <c r="H1212" s="1">
        <v>0</v>
      </c>
      <c r="I1212" s="1">
        <v>2023</v>
      </c>
      <c r="J1212" s="1">
        <v>40</v>
      </c>
      <c r="K1212" s="1">
        <v>1</v>
      </c>
      <c r="L1212" s="1">
        <v>363</v>
      </c>
      <c r="M1212" s="1">
        <v>377</v>
      </c>
      <c r="N1212" s="1" t="s">
        <v>6</v>
      </c>
      <c r="O1212" s="1" t="s">
        <v>6446</v>
      </c>
      <c r="P1212" s="3" t="str">
        <f>HYPERLINK("http://dx.doi.org/10.16888/interd.2023.40.1.22","http://dx.doi.org/10.16888/interd.2023.40.1.22")</f>
        <v>http://dx.doi.org/10.16888/interd.2023.40.1.22</v>
      </c>
    </row>
    <row r="1213" spans="1:16" ht="15.75" customHeight="1">
      <c r="A1213" s="1" t="s">
        <v>0</v>
      </c>
      <c r="B1213" s="1" t="s">
        <v>4507</v>
      </c>
      <c r="C1213" s="1" t="s">
        <v>4508</v>
      </c>
      <c r="D1213" s="1" t="s">
        <v>4509</v>
      </c>
      <c r="E1213" s="1" t="s">
        <v>4510</v>
      </c>
      <c r="F1213" s="1" t="s">
        <v>4511</v>
      </c>
      <c r="G1213" s="1">
        <v>50</v>
      </c>
      <c r="H1213" s="1">
        <v>0</v>
      </c>
      <c r="I1213" s="1">
        <v>2023</v>
      </c>
      <c r="J1213" s="1" t="s">
        <v>6</v>
      </c>
      <c r="K1213" s="1">
        <v>41</v>
      </c>
      <c r="L1213" s="1">
        <v>201</v>
      </c>
      <c r="M1213" s="1">
        <v>226</v>
      </c>
      <c r="N1213" s="1" t="s">
        <v>6</v>
      </c>
      <c r="O1213" s="1" t="s">
        <v>4512</v>
      </c>
      <c r="P1213" s="3" t="str">
        <f>HYPERLINK("http://dx.doi.org/10.29344/07180772.41.3528","http://dx.doi.org/10.29344/07180772.41.3528")</f>
        <v>http://dx.doi.org/10.29344/07180772.41.3528</v>
      </c>
    </row>
    <row r="1214" spans="1:16" ht="15.75" customHeight="1">
      <c r="A1214" s="1" t="s">
        <v>0</v>
      </c>
      <c r="B1214" s="1" t="s">
        <v>4200</v>
      </c>
      <c r="C1214" s="1" t="s">
        <v>4201</v>
      </c>
      <c r="D1214" s="1" t="s">
        <v>4202</v>
      </c>
      <c r="E1214" s="1" t="s">
        <v>4203</v>
      </c>
      <c r="F1214" s="1" t="s">
        <v>4204</v>
      </c>
      <c r="G1214" s="1">
        <v>33</v>
      </c>
      <c r="H1214" s="1">
        <v>0</v>
      </c>
      <c r="I1214" s="1">
        <v>2023</v>
      </c>
      <c r="J1214" s="1">
        <v>16</v>
      </c>
      <c r="K1214" s="1">
        <v>1</v>
      </c>
      <c r="L1214" s="1">
        <v>58</v>
      </c>
      <c r="M1214" s="1">
        <v>71</v>
      </c>
      <c r="N1214" s="1" t="s">
        <v>6</v>
      </c>
      <c r="O1214" s="1" t="s">
        <v>4205</v>
      </c>
      <c r="P1214" s="3" t="str">
        <f>HYPERLINK("http://dx.doi.org/10.14483/2422278X.19060","http://dx.doi.org/10.14483/2422278X.19060")</f>
        <v>http://dx.doi.org/10.14483/2422278X.19060</v>
      </c>
    </row>
    <row r="1215" spans="1:16" ht="15.75" customHeight="1">
      <c r="A1215" s="1" t="s">
        <v>0</v>
      </c>
      <c r="B1215" s="1" t="s">
        <v>7069</v>
      </c>
      <c r="C1215" s="1" t="s">
        <v>7070</v>
      </c>
      <c r="D1215" s="1" t="s">
        <v>7071</v>
      </c>
      <c r="E1215" s="1" t="s">
        <v>7072</v>
      </c>
      <c r="F1215" s="1" t="s">
        <v>7073</v>
      </c>
      <c r="G1215" s="1">
        <v>62</v>
      </c>
      <c r="H1215" s="1">
        <v>0</v>
      </c>
      <c r="I1215" s="1">
        <v>2023</v>
      </c>
      <c r="J1215" s="1">
        <v>23</v>
      </c>
      <c r="K1215" s="1">
        <v>1</v>
      </c>
      <c r="L1215" s="1" t="s">
        <v>6</v>
      </c>
      <c r="M1215" s="1" t="s">
        <v>6</v>
      </c>
      <c r="N1215" s="1" t="s">
        <v>7074</v>
      </c>
      <c r="O1215" s="1" t="s">
        <v>7075</v>
      </c>
      <c r="P1215" s="3" t="str">
        <f>HYPERLINK("http://dx.doi.org/10.11606/issn.2316-9044.rdisan.2023.201868","http://dx.doi.org/10.11606/issn.2316-9044.rdisan.2023.201868")</f>
        <v>http://dx.doi.org/10.11606/issn.2316-9044.rdisan.2023.201868</v>
      </c>
    </row>
    <row r="1216" spans="1:16" ht="15.75" customHeight="1">
      <c r="A1216" s="1" t="s">
        <v>0</v>
      </c>
      <c r="B1216" s="1" t="s">
        <v>3164</v>
      </c>
      <c r="C1216" s="1" t="s">
        <v>3165</v>
      </c>
      <c r="D1216" s="1" t="s">
        <v>387</v>
      </c>
      <c r="E1216" s="1" t="s">
        <v>3166</v>
      </c>
      <c r="F1216" s="1" t="s">
        <v>3167</v>
      </c>
      <c r="G1216" s="1">
        <v>61</v>
      </c>
      <c r="H1216" s="1">
        <v>0</v>
      </c>
      <c r="I1216" s="1">
        <v>2023</v>
      </c>
      <c r="J1216" s="1">
        <v>31</v>
      </c>
      <c r="K1216" s="1" t="s">
        <v>3168</v>
      </c>
      <c r="O1216" s="1" t="s">
        <v>3169</v>
      </c>
    </row>
    <row r="1217" spans="1:16" ht="15.75" customHeight="1">
      <c r="A1217" s="1" t="s">
        <v>0</v>
      </c>
      <c r="B1217" s="1" t="s">
        <v>3653</v>
      </c>
      <c r="C1217" s="1" t="s">
        <v>3654</v>
      </c>
      <c r="D1217" s="1" t="s">
        <v>58</v>
      </c>
      <c r="E1217" s="1" t="s">
        <v>3655</v>
      </c>
      <c r="F1217" s="1" t="s">
        <v>3656</v>
      </c>
      <c r="G1217" s="1">
        <v>58</v>
      </c>
      <c r="H1217" s="1">
        <v>0</v>
      </c>
      <c r="I1217" s="1">
        <v>2023</v>
      </c>
      <c r="J1217" s="1">
        <v>23</v>
      </c>
      <c r="K1217" s="1" t="s">
        <v>6</v>
      </c>
      <c r="L1217" s="1" t="s">
        <v>6</v>
      </c>
      <c r="M1217" s="1" t="s">
        <v>6</v>
      </c>
      <c r="N1217" s="1" t="s">
        <v>6</v>
      </c>
      <c r="O1217" s="1" t="s">
        <v>3657</v>
      </c>
      <c r="P1217" s="3" t="str">
        <f>HYPERLINK("http://dx.doi.org/10.4067/s0719-09482023000100204","http://dx.doi.org/10.4067/s0719-09482023000100204")</f>
        <v>http://dx.doi.org/10.4067/s0719-09482023000100204</v>
      </c>
    </row>
    <row r="1218" spans="1:16" ht="15.75" customHeight="1">
      <c r="A1218" s="1" t="s">
        <v>0</v>
      </c>
      <c r="B1218" s="1" t="s">
        <v>6790</v>
      </c>
      <c r="C1218" s="1" t="s">
        <v>6791</v>
      </c>
      <c r="D1218" s="1" t="s">
        <v>2664</v>
      </c>
      <c r="E1218" s="1" t="s">
        <v>6792</v>
      </c>
      <c r="F1218" s="1" t="s">
        <v>6793</v>
      </c>
      <c r="G1218" s="1">
        <v>64</v>
      </c>
      <c r="H1218" s="1">
        <v>0</v>
      </c>
      <c r="I1218" s="1">
        <v>2023</v>
      </c>
      <c r="J1218" s="1">
        <v>10</v>
      </c>
      <c r="K1218" s="1">
        <v>2</v>
      </c>
      <c r="L1218" s="1">
        <v>96</v>
      </c>
      <c r="M1218" s="1">
        <v>119</v>
      </c>
      <c r="N1218" s="1" t="s">
        <v>6</v>
      </c>
      <c r="O1218" s="1" t="s">
        <v>6794</v>
      </c>
      <c r="P1218" s="3" t="str">
        <f>HYPERLINK("http://dx.doi.org/10.47456/simbitica.v10i2.40035","http://dx.doi.org/10.47456/simbitica.v10i2.40035")</f>
        <v>http://dx.doi.org/10.47456/simbitica.v10i2.40035</v>
      </c>
    </row>
    <row r="1219" spans="1:16" ht="15.75" customHeight="1">
      <c r="A1219" s="1" t="s">
        <v>0</v>
      </c>
      <c r="B1219" s="1" t="s">
        <v>4233</v>
      </c>
      <c r="C1219" s="1" t="s">
        <v>4234</v>
      </c>
      <c r="D1219" s="1" t="s">
        <v>732</v>
      </c>
      <c r="E1219" s="1" t="s">
        <v>4235</v>
      </c>
      <c r="F1219" s="1" t="s">
        <v>4236</v>
      </c>
      <c r="G1219" s="1">
        <v>43</v>
      </c>
      <c r="H1219" s="1">
        <v>0</v>
      </c>
      <c r="I1219" s="1">
        <v>2023</v>
      </c>
      <c r="J1219" s="1">
        <v>31</v>
      </c>
      <c r="K1219" s="1" t="s">
        <v>396</v>
      </c>
      <c r="O1219" s="1" t="s">
        <v>4237</v>
      </c>
    </row>
    <row r="1220" spans="1:16" ht="15.75" customHeight="1">
      <c r="A1220" s="1" t="s">
        <v>0</v>
      </c>
      <c r="B1220" s="1" t="s">
        <v>3649</v>
      </c>
      <c r="C1220" s="1" t="s">
        <v>3650</v>
      </c>
      <c r="D1220" s="1" t="s">
        <v>2073</v>
      </c>
      <c r="E1220" s="1" t="s">
        <v>3651</v>
      </c>
      <c r="F1220" s="1" t="s">
        <v>3652</v>
      </c>
      <c r="G1220" s="1">
        <v>32</v>
      </c>
      <c r="H1220" s="1">
        <v>0</v>
      </c>
      <c r="I1220" s="1">
        <v>2023</v>
      </c>
      <c r="J1220" s="1">
        <v>15</v>
      </c>
      <c r="K1220" s="1">
        <v>1</v>
      </c>
      <c r="L1220" s="1">
        <v>95</v>
      </c>
      <c r="M1220" s="1">
        <v>120</v>
      </c>
      <c r="N1220" s="1" t="s">
        <v>6</v>
      </c>
      <c r="O1220" s="1" t="s">
        <v>6</v>
      </c>
      <c r="P1220" s="1" t="s">
        <v>6</v>
      </c>
    </row>
    <row r="1221" spans="1:16" ht="15.75" customHeight="1">
      <c r="A1221" s="1" t="s">
        <v>0</v>
      </c>
      <c r="B1221" s="1" t="s">
        <v>3058</v>
      </c>
      <c r="C1221" s="1" t="s">
        <v>3059</v>
      </c>
      <c r="D1221" s="1" t="s">
        <v>1009</v>
      </c>
      <c r="E1221" s="1" t="s">
        <v>3060</v>
      </c>
      <c r="F1221" s="1" t="s">
        <v>3061</v>
      </c>
      <c r="G1221" s="1">
        <v>36</v>
      </c>
      <c r="H1221" s="1">
        <v>0</v>
      </c>
      <c r="I1221" s="1">
        <v>2023</v>
      </c>
      <c r="J1221" s="1">
        <v>29</v>
      </c>
      <c r="K1221" s="1">
        <v>117</v>
      </c>
      <c r="L1221" s="1">
        <v>33</v>
      </c>
      <c r="M1221" s="1">
        <v>56</v>
      </c>
      <c r="N1221" s="1" t="s">
        <v>6</v>
      </c>
      <c r="O1221" s="1" t="s">
        <v>3062</v>
      </c>
      <c r="P1221" s="3" t="str">
        <f>HYPERLINK("http://dx.doi.org/10.22185/24487147.2023.117.19","http://dx.doi.org/10.22185/24487147.2023.117.19")</f>
        <v>http://dx.doi.org/10.22185/24487147.2023.117.19</v>
      </c>
    </row>
    <row r="1222" spans="1:16" ht="15.75" customHeight="1">
      <c r="A1222" s="1" t="s">
        <v>0</v>
      </c>
      <c r="B1222" s="1" t="s">
        <v>2812</v>
      </c>
      <c r="C1222" s="1" t="s">
        <v>2813</v>
      </c>
      <c r="D1222" s="1" t="s">
        <v>2814</v>
      </c>
      <c r="E1222" s="1" t="s">
        <v>2815</v>
      </c>
      <c r="F1222" s="1" t="s">
        <v>2816</v>
      </c>
      <c r="G1222" s="1">
        <v>33</v>
      </c>
      <c r="H1222" s="1">
        <v>0</v>
      </c>
      <c r="I1222" s="1">
        <v>2023</v>
      </c>
      <c r="J1222" s="1" t="s">
        <v>6</v>
      </c>
      <c r="K1222" s="1" t="s">
        <v>6</v>
      </c>
      <c r="L1222" s="1" t="s">
        <v>6</v>
      </c>
      <c r="M1222" s="1" t="s">
        <v>6</v>
      </c>
      <c r="N1222" s="1" t="s">
        <v>6</v>
      </c>
      <c r="O1222" s="1" t="s">
        <v>2817</v>
      </c>
      <c r="P1222" s="3" t="str">
        <f>HYPERLINK("http://dx.doi.org/10.1177/10443894231186194","http://dx.doi.org/10.1177/10443894231186194")</f>
        <v>http://dx.doi.org/10.1177/10443894231186194</v>
      </c>
    </row>
    <row r="1223" spans="1:16" ht="15.75" customHeight="1">
      <c r="A1223" s="1" t="s">
        <v>0</v>
      </c>
      <c r="B1223" s="1" t="s">
        <v>6483</v>
      </c>
      <c r="C1223" s="1" t="s">
        <v>6484</v>
      </c>
      <c r="D1223" s="1" t="s">
        <v>1639</v>
      </c>
      <c r="E1223" s="1" t="s">
        <v>6485</v>
      </c>
      <c r="F1223" s="1" t="s">
        <v>6486</v>
      </c>
      <c r="G1223" s="1">
        <v>46</v>
      </c>
      <c r="H1223" s="1">
        <v>0</v>
      </c>
      <c r="I1223" s="1">
        <v>2023</v>
      </c>
      <c r="J1223" s="1">
        <v>20</v>
      </c>
      <c r="K1223" s="1">
        <v>51</v>
      </c>
      <c r="L1223" s="1">
        <v>105</v>
      </c>
      <c r="M1223" s="1">
        <v>131</v>
      </c>
      <c r="N1223" s="1" t="s">
        <v>6</v>
      </c>
      <c r="O1223" s="1" t="s">
        <v>6487</v>
      </c>
      <c r="P1223" s="3" t="str">
        <f>HYPERLINK("http://dx.doi.org/10.29092/uacm.v20i51.971","http://dx.doi.org/10.29092/uacm.v20i51.971")</f>
        <v>http://dx.doi.org/10.29092/uacm.v20i51.971</v>
      </c>
    </row>
    <row r="1224" spans="1:16" ht="15.75" customHeight="1">
      <c r="A1224" s="1" t="s">
        <v>0</v>
      </c>
      <c r="B1224" s="1" t="s">
        <v>6950</v>
      </c>
      <c r="C1224" s="1" t="s">
        <v>6951</v>
      </c>
      <c r="D1224" s="1" t="s">
        <v>1264</v>
      </c>
      <c r="E1224" s="1" t="s">
        <v>6952</v>
      </c>
      <c r="F1224" s="1" t="s">
        <v>6953</v>
      </c>
      <c r="G1224" s="1">
        <v>78</v>
      </c>
      <c r="H1224" s="1">
        <v>0</v>
      </c>
      <c r="I1224" s="1">
        <v>2023</v>
      </c>
      <c r="J1224" s="1">
        <v>13</v>
      </c>
      <c r="K1224" s="1">
        <v>1</v>
      </c>
      <c r="L1224" s="1">
        <v>25</v>
      </c>
      <c r="M1224" s="1">
        <v>56</v>
      </c>
      <c r="N1224" s="1" t="s">
        <v>6</v>
      </c>
      <c r="O1224" s="1" t="s">
        <v>6954</v>
      </c>
      <c r="P1224" s="3" t="str">
        <f>HYPERLINK("http://dx.doi.org/10.25115/riem.v13i1.4944","http://dx.doi.org/10.25115/riem.v13i1.4944")</f>
        <v>http://dx.doi.org/10.25115/riem.v13i1.4944</v>
      </c>
    </row>
    <row r="1225" spans="1:16" ht="15.75" customHeight="1">
      <c r="A1225" s="1" t="s">
        <v>0</v>
      </c>
      <c r="B1225" s="1" t="s">
        <v>5532</v>
      </c>
      <c r="C1225" s="1" t="s">
        <v>5533</v>
      </c>
      <c r="D1225" s="1" t="s">
        <v>732</v>
      </c>
      <c r="E1225" s="1" t="s">
        <v>5534</v>
      </c>
      <c r="F1225" s="1" t="s">
        <v>5535</v>
      </c>
      <c r="G1225" s="1">
        <v>18</v>
      </c>
      <c r="H1225" s="1">
        <v>0</v>
      </c>
      <c r="I1225" s="1">
        <v>2023</v>
      </c>
      <c r="J1225" s="1">
        <v>31</v>
      </c>
      <c r="K1225" s="1" t="s">
        <v>1553</v>
      </c>
      <c r="O1225" s="1" t="s">
        <v>5536</v>
      </c>
    </row>
    <row r="1226" spans="1:16" ht="15.75" customHeight="1">
      <c r="A1226" s="1" t="s">
        <v>0</v>
      </c>
      <c r="B1226" s="1" t="s">
        <v>2076</v>
      </c>
      <c r="C1226" s="1" t="s">
        <v>2077</v>
      </c>
      <c r="D1226" s="1" t="s">
        <v>2078</v>
      </c>
      <c r="E1226" s="1" t="s">
        <v>2079</v>
      </c>
      <c r="F1226" s="1" t="s">
        <v>2080</v>
      </c>
      <c r="G1226" s="1">
        <v>40</v>
      </c>
      <c r="H1226" s="1">
        <v>0</v>
      </c>
      <c r="I1226" s="1">
        <v>2023</v>
      </c>
      <c r="J1226" s="1">
        <v>15</v>
      </c>
      <c r="K1226" s="1">
        <v>1</v>
      </c>
      <c r="L1226" s="1">
        <v>145</v>
      </c>
      <c r="M1226" s="1">
        <v>155</v>
      </c>
      <c r="N1226" s="1" t="s">
        <v>6</v>
      </c>
      <c r="O1226" s="1" t="s">
        <v>6</v>
      </c>
      <c r="P1226" s="1" t="s">
        <v>6</v>
      </c>
    </row>
    <row r="1227" spans="1:16" ht="15.75" customHeight="1">
      <c r="A1227" s="1" t="s">
        <v>0</v>
      </c>
      <c r="B1227" s="1" t="s">
        <v>5475</v>
      </c>
      <c r="C1227" s="1" t="s">
        <v>5476</v>
      </c>
      <c r="D1227" s="1" t="s">
        <v>5477</v>
      </c>
      <c r="E1227" s="1" t="s">
        <v>5478</v>
      </c>
      <c r="F1227" s="1" t="s">
        <v>5479</v>
      </c>
      <c r="G1227" s="1">
        <v>26</v>
      </c>
      <c r="H1227" s="1">
        <v>0</v>
      </c>
      <c r="I1227" s="1">
        <v>2023</v>
      </c>
      <c r="J1227" s="1">
        <v>13</v>
      </c>
      <c r="K1227" s="1" t="s">
        <v>6</v>
      </c>
      <c r="L1227" s="1">
        <v>96</v>
      </c>
      <c r="M1227" s="1">
        <v>113</v>
      </c>
      <c r="N1227" s="1" t="s">
        <v>6</v>
      </c>
      <c r="O1227" s="1" t="s">
        <v>6</v>
      </c>
      <c r="P1227" s="1" t="s">
        <v>6</v>
      </c>
    </row>
    <row r="1228" spans="1:16" ht="15.75" customHeight="1">
      <c r="A1228" s="1" t="s">
        <v>10</v>
      </c>
      <c r="B1228" s="1" t="s">
        <v>2455</v>
      </c>
      <c r="C1228" s="1" t="s">
        <v>2456</v>
      </c>
      <c r="D1228" s="1" t="s">
        <v>2457</v>
      </c>
      <c r="F1228" s="1" t="s">
        <v>2458</v>
      </c>
      <c r="H1228" s="1">
        <v>0</v>
      </c>
      <c r="I1228" s="1">
        <v>2023</v>
      </c>
      <c r="J1228" s="1">
        <v>45</v>
      </c>
      <c r="K1228" s="1">
        <v>9</v>
      </c>
      <c r="O1228" s="1" t="s">
        <v>2459</v>
      </c>
    </row>
    <row r="1229" spans="1:16" ht="15.75" customHeight="1">
      <c r="A1229" s="1" t="s">
        <v>10</v>
      </c>
      <c r="B1229" s="1" t="s">
        <v>2229</v>
      </c>
      <c r="C1229" s="1" t="s">
        <v>2230</v>
      </c>
      <c r="D1229" s="1" t="s">
        <v>2231</v>
      </c>
      <c r="E1229" s="1" t="s">
        <v>2232</v>
      </c>
      <c r="F1229" s="1" t="s">
        <v>2233</v>
      </c>
      <c r="H1229" s="1">
        <v>7</v>
      </c>
      <c r="I1229" s="1">
        <v>2024</v>
      </c>
      <c r="J1229" s="1">
        <v>12</v>
      </c>
      <c r="O1229" s="1" t="s">
        <v>2234</v>
      </c>
    </row>
    <row r="1230" spans="1:16" ht="15.75" customHeight="1">
      <c r="A1230" s="1" t="s">
        <v>0</v>
      </c>
      <c r="B1230" s="1" t="s">
        <v>911</v>
      </c>
      <c r="C1230" s="1" t="s">
        <v>912</v>
      </c>
      <c r="D1230" s="1" t="s">
        <v>776</v>
      </c>
      <c r="E1230" s="8" t="s">
        <v>7116</v>
      </c>
      <c r="F1230" s="1" t="s">
        <v>913</v>
      </c>
      <c r="G1230" s="1">
        <v>127</v>
      </c>
      <c r="H1230" s="1">
        <v>6</v>
      </c>
      <c r="I1230" s="1">
        <v>2024</v>
      </c>
      <c r="J1230" s="1">
        <v>58</v>
      </c>
      <c r="K1230" s="1">
        <v>1</v>
      </c>
      <c r="L1230" s="1">
        <v>319</v>
      </c>
      <c r="M1230" s="1">
        <v>346</v>
      </c>
      <c r="N1230" s="1" t="s">
        <v>6</v>
      </c>
      <c r="O1230" s="1" t="s">
        <v>914</v>
      </c>
      <c r="P1230" s="3" t="str">
        <f>HYPERLINK("http://dx.doi.org/10.1177/01979183221142776","http://dx.doi.org/10.1177/01979183221142776")</f>
        <v>http://dx.doi.org/10.1177/01979183221142776</v>
      </c>
    </row>
    <row r="1231" spans="1:16" ht="15.75" customHeight="1">
      <c r="A1231" s="1" t="s">
        <v>0</v>
      </c>
      <c r="B1231" s="1" t="s">
        <v>5746</v>
      </c>
      <c r="C1231" s="1" t="s">
        <v>5757</v>
      </c>
      <c r="D1231" s="1" t="s">
        <v>264</v>
      </c>
      <c r="E1231" s="1" t="s">
        <v>5758</v>
      </c>
      <c r="F1231" s="1" t="s">
        <v>5759</v>
      </c>
      <c r="G1231" s="1">
        <v>47</v>
      </c>
      <c r="H1231" s="1">
        <v>4</v>
      </c>
      <c r="I1231" s="1">
        <v>2024</v>
      </c>
      <c r="J1231" s="1" t="s">
        <v>6</v>
      </c>
      <c r="K1231" s="1" t="s">
        <v>6</v>
      </c>
      <c r="L1231" s="1" t="s">
        <v>6</v>
      </c>
      <c r="M1231" s="1" t="s">
        <v>6</v>
      </c>
      <c r="N1231" s="1" t="s">
        <v>6</v>
      </c>
      <c r="O1231" s="1" t="s">
        <v>5760</v>
      </c>
      <c r="P1231" s="3" t="str">
        <f>HYPERLINK("http://dx.doi.org/10.1080/1369183X.2024.2345993","http://dx.doi.org/10.1080/1369183X.2024.2345993")</f>
        <v>http://dx.doi.org/10.1080/1369183X.2024.2345993</v>
      </c>
    </row>
    <row r="1232" spans="1:16" ht="15.75" customHeight="1">
      <c r="A1232" s="1" t="s">
        <v>0</v>
      </c>
      <c r="B1232" s="1" t="s">
        <v>4156</v>
      </c>
      <c r="C1232" s="1" t="s">
        <v>4157</v>
      </c>
      <c r="D1232" s="1" t="s">
        <v>264</v>
      </c>
      <c r="E1232" s="1" t="s">
        <v>4158</v>
      </c>
      <c r="F1232" s="1" t="s">
        <v>4159</v>
      </c>
      <c r="G1232" s="1">
        <v>136</v>
      </c>
      <c r="H1232" s="1">
        <v>3</v>
      </c>
      <c r="I1232" s="1">
        <v>2024</v>
      </c>
      <c r="J1232" s="1" t="s">
        <v>6</v>
      </c>
      <c r="K1232" s="1" t="s">
        <v>6</v>
      </c>
      <c r="L1232" s="1" t="s">
        <v>6</v>
      </c>
      <c r="M1232" s="1" t="s">
        <v>6</v>
      </c>
      <c r="N1232" s="1" t="s">
        <v>6</v>
      </c>
      <c r="O1232" s="1" t="s">
        <v>4160</v>
      </c>
      <c r="P1232" s="3" t="str">
        <f>HYPERLINK("http://dx.doi.org/10.1080/1369183X.2024.2345988","http://dx.doi.org/10.1080/1369183X.2024.2345988")</f>
        <v>http://dx.doi.org/10.1080/1369183X.2024.2345988</v>
      </c>
    </row>
    <row r="1233" spans="1:16" ht="15.75" customHeight="1">
      <c r="A1233" s="1" t="s">
        <v>0</v>
      </c>
      <c r="B1233" s="1" t="s">
        <v>2486</v>
      </c>
      <c r="C1233" s="1" t="s">
        <v>2492</v>
      </c>
      <c r="D1233" s="1" t="s">
        <v>264</v>
      </c>
      <c r="E1233" s="1" t="s">
        <v>2493</v>
      </c>
      <c r="F1233" s="1" t="s">
        <v>2494</v>
      </c>
      <c r="G1233" s="1">
        <v>65</v>
      </c>
      <c r="H1233" s="1">
        <v>3</v>
      </c>
      <c r="I1233" s="1">
        <v>2024</v>
      </c>
      <c r="J1233" s="1" t="s">
        <v>6</v>
      </c>
      <c r="K1233" s="1" t="s">
        <v>6</v>
      </c>
      <c r="L1233" s="1" t="s">
        <v>6</v>
      </c>
      <c r="M1233" s="1" t="s">
        <v>6</v>
      </c>
      <c r="N1233" s="1" t="s">
        <v>6</v>
      </c>
      <c r="O1233" s="1" t="s">
        <v>2495</v>
      </c>
      <c r="P1233" s="3" t="str">
        <f>HYPERLINK("http://dx.doi.org/10.1080/1369183X.2024.2345994","http://dx.doi.org/10.1080/1369183X.2024.2345994")</f>
        <v>http://dx.doi.org/10.1080/1369183X.2024.2345994</v>
      </c>
    </row>
    <row r="1234" spans="1:16" ht="15.75" customHeight="1">
      <c r="A1234" s="1" t="s">
        <v>0</v>
      </c>
      <c r="B1234" s="1" t="s">
        <v>6016</v>
      </c>
      <c r="C1234" s="1" t="s">
        <v>6021</v>
      </c>
      <c r="D1234" s="1" t="s">
        <v>5212</v>
      </c>
      <c r="E1234" s="1" t="s">
        <v>6022</v>
      </c>
      <c r="F1234" s="1" t="s">
        <v>6023</v>
      </c>
      <c r="G1234" s="1">
        <v>69</v>
      </c>
      <c r="H1234" s="1">
        <v>3</v>
      </c>
      <c r="I1234" s="1">
        <v>2024</v>
      </c>
      <c r="J1234" s="1">
        <v>61</v>
      </c>
      <c r="K1234" s="1">
        <v>4</v>
      </c>
      <c r="L1234" s="1">
        <v>726</v>
      </c>
      <c r="M1234" s="1">
        <v>742</v>
      </c>
      <c r="N1234" s="1" t="s">
        <v>6</v>
      </c>
      <c r="O1234" s="1" t="s">
        <v>6024</v>
      </c>
      <c r="P1234" s="3" t="str">
        <f>HYPERLINK("http://dx.doi.org/10.1177/00420980221114206","http://dx.doi.org/10.1177/00420980221114206")</f>
        <v>http://dx.doi.org/10.1177/00420980221114206</v>
      </c>
    </row>
    <row r="1235" spans="1:16" ht="15.75" customHeight="1">
      <c r="A1235" s="1" t="s">
        <v>10</v>
      </c>
      <c r="B1235" s="1" t="s">
        <v>2044</v>
      </c>
      <c r="C1235" s="1" t="s">
        <v>2045</v>
      </c>
      <c r="D1235" s="1" t="s">
        <v>2046</v>
      </c>
      <c r="E1235" s="1" t="s">
        <v>2047</v>
      </c>
      <c r="F1235" s="1" t="s">
        <v>2048</v>
      </c>
      <c r="H1235" s="1">
        <v>1</v>
      </c>
      <c r="I1235" s="1">
        <v>2024</v>
      </c>
      <c r="J1235" s="1">
        <v>73</v>
      </c>
      <c r="K1235" s="1" t="s">
        <v>2049</v>
      </c>
      <c r="O1235" s="1" t="s">
        <v>2050</v>
      </c>
    </row>
    <row r="1236" spans="1:16" ht="15.75" customHeight="1">
      <c r="A1236" s="1" t="s">
        <v>0</v>
      </c>
      <c r="B1236" s="1" t="s">
        <v>3620</v>
      </c>
      <c r="C1236" s="1" t="s">
        <v>3621</v>
      </c>
      <c r="D1236" s="1" t="s">
        <v>2216</v>
      </c>
      <c r="E1236" s="1" t="s">
        <v>3622</v>
      </c>
      <c r="F1236" s="1" t="s">
        <v>3623</v>
      </c>
      <c r="G1236" s="1">
        <v>40</v>
      </c>
      <c r="H1236" s="1">
        <v>1</v>
      </c>
      <c r="I1236" s="1">
        <v>2024</v>
      </c>
      <c r="J1236" s="1">
        <v>44</v>
      </c>
      <c r="K1236" s="1">
        <v>2</v>
      </c>
      <c r="L1236" s="1">
        <v>268</v>
      </c>
      <c r="M1236" s="1">
        <v>283</v>
      </c>
      <c r="N1236" s="1" t="s">
        <v>6</v>
      </c>
      <c r="O1236" s="1" t="s">
        <v>3624</v>
      </c>
      <c r="P1236" s="3" t="str">
        <f>HYPERLINK("http://dx.doi.org/10.1177/02633957231178526","http://dx.doi.org/10.1177/02633957231178526")</f>
        <v>http://dx.doi.org/10.1177/02633957231178526</v>
      </c>
    </row>
    <row r="1237" spans="1:16" ht="15.75" customHeight="1">
      <c r="A1237" s="1" t="s">
        <v>0</v>
      </c>
      <c r="B1237" s="1" t="s">
        <v>1049</v>
      </c>
      <c r="C1237" s="1" t="s">
        <v>1050</v>
      </c>
      <c r="D1237" s="1" t="s">
        <v>1051</v>
      </c>
      <c r="E1237" s="1" t="s">
        <v>1052</v>
      </c>
      <c r="F1237" s="1" t="s">
        <v>1053</v>
      </c>
      <c r="G1237" s="1">
        <v>42</v>
      </c>
      <c r="H1237" s="1">
        <v>1</v>
      </c>
      <c r="I1237" s="1">
        <v>2024</v>
      </c>
      <c r="J1237" s="1">
        <v>24</v>
      </c>
      <c r="K1237" s="1">
        <v>1</v>
      </c>
      <c r="L1237" s="1" t="s">
        <v>6</v>
      </c>
      <c r="M1237" s="1" t="s">
        <v>6</v>
      </c>
      <c r="N1237" s="1" t="s">
        <v>6</v>
      </c>
      <c r="O1237" s="1" t="s">
        <v>1054</v>
      </c>
      <c r="P1237" s="3" t="str">
        <f>HYPERLINK("http://dx.doi.org/10.1111/glob.12437","http://dx.doi.org/10.1111/glob.12437")</f>
        <v>http://dx.doi.org/10.1111/glob.12437</v>
      </c>
    </row>
    <row r="1238" spans="1:16" ht="15.75" customHeight="1">
      <c r="A1238" s="1" t="s">
        <v>0</v>
      </c>
      <c r="B1238" s="1" t="s">
        <v>1</v>
      </c>
      <c r="C1238" s="1" t="s">
        <v>8</v>
      </c>
      <c r="D1238" s="1" t="s">
        <v>9</v>
      </c>
      <c r="E1238" s="1" t="s">
        <v>11</v>
      </c>
      <c r="F1238" s="1" t="s">
        <v>12</v>
      </c>
      <c r="G1238" s="1">
        <v>46</v>
      </c>
      <c r="H1238" s="1">
        <v>1</v>
      </c>
      <c r="I1238" s="1">
        <v>2024</v>
      </c>
      <c r="J1238" s="1">
        <v>43</v>
      </c>
      <c r="K1238" s="1">
        <v>3</v>
      </c>
      <c r="L1238" s="1">
        <v>262</v>
      </c>
      <c r="M1238" s="1">
        <v>276</v>
      </c>
      <c r="N1238" s="1" t="s">
        <v>6</v>
      </c>
      <c r="O1238" s="1" t="s">
        <v>13</v>
      </c>
      <c r="P1238" s="3" t="str">
        <f>HYPERLINK("http://dx.doi.org/10.1080/01459740.2024.2324890","http://dx.doi.org/10.1080/01459740.2024.2324890")</f>
        <v>http://dx.doi.org/10.1080/01459740.2024.2324890</v>
      </c>
    </row>
    <row r="1239" spans="1:16" ht="15.75" customHeight="1">
      <c r="A1239" s="1" t="s">
        <v>10</v>
      </c>
      <c r="B1239" s="1" t="s">
        <v>5227</v>
      </c>
      <c r="C1239" s="1" t="s">
        <v>5228</v>
      </c>
      <c r="D1239" s="1" t="s">
        <v>5229</v>
      </c>
      <c r="E1239" s="1" t="s">
        <v>5230</v>
      </c>
      <c r="F1239" s="1" t="s">
        <v>5231</v>
      </c>
      <c r="H1239" s="1">
        <v>1</v>
      </c>
      <c r="I1239" s="1">
        <v>2024</v>
      </c>
      <c r="O1239" s="1" t="s">
        <v>5232</v>
      </c>
    </row>
    <row r="1240" spans="1:16" ht="15.75" customHeight="1">
      <c r="A1240" s="1" t="s">
        <v>0</v>
      </c>
      <c r="B1240" s="1" t="s">
        <v>3435</v>
      </c>
      <c r="C1240" s="1" t="s">
        <v>3436</v>
      </c>
      <c r="D1240" s="1" t="s">
        <v>3437</v>
      </c>
      <c r="E1240" s="1" t="s">
        <v>3438</v>
      </c>
      <c r="F1240" s="1" t="s">
        <v>3439</v>
      </c>
      <c r="G1240" s="1">
        <v>20</v>
      </c>
      <c r="H1240" s="1">
        <v>1</v>
      </c>
      <c r="I1240" s="1">
        <v>2024</v>
      </c>
      <c r="J1240" s="1" t="s">
        <v>6</v>
      </c>
      <c r="K1240" s="1" t="s">
        <v>6</v>
      </c>
      <c r="L1240" s="1" t="s">
        <v>6</v>
      </c>
      <c r="M1240" s="1" t="s">
        <v>6</v>
      </c>
      <c r="N1240" s="1" t="s">
        <v>6</v>
      </c>
      <c r="O1240" s="1" t="s">
        <v>3440</v>
      </c>
      <c r="P1240" s="3" t="str">
        <f>HYPERLINK("http://dx.doi.org/10.1002/ijop.13107","http://dx.doi.org/10.1002/ijop.13107")</f>
        <v>http://dx.doi.org/10.1002/ijop.13107</v>
      </c>
    </row>
    <row r="1241" spans="1:16" ht="15.75" customHeight="1">
      <c r="A1241" s="1" t="s">
        <v>10</v>
      </c>
      <c r="B1241" s="1" t="s">
        <v>784</v>
      </c>
      <c r="C1241" s="1" t="s">
        <v>785</v>
      </c>
      <c r="D1241" s="1" t="s">
        <v>786</v>
      </c>
      <c r="E1241" s="1" t="s">
        <v>787</v>
      </c>
      <c r="F1241" s="1" t="s">
        <v>788</v>
      </c>
      <c r="H1241" s="1">
        <v>1</v>
      </c>
      <c r="I1241" s="1">
        <v>2024</v>
      </c>
      <c r="J1241" s="1">
        <v>9</v>
      </c>
      <c r="O1241" s="1" t="s">
        <v>789</v>
      </c>
    </row>
    <row r="1242" spans="1:16" ht="15.75" customHeight="1">
      <c r="A1242" s="1" t="s">
        <v>10</v>
      </c>
      <c r="B1242" s="1" t="s">
        <v>1833</v>
      </c>
      <c r="C1242" s="1" t="s">
        <v>1834</v>
      </c>
      <c r="D1242" s="1" t="s">
        <v>1835</v>
      </c>
      <c r="E1242" s="1" t="s">
        <v>1836</v>
      </c>
      <c r="F1242" s="1" t="s">
        <v>1837</v>
      </c>
      <c r="H1242" s="1">
        <v>1</v>
      </c>
      <c r="I1242" s="1">
        <v>2024</v>
      </c>
      <c r="J1242" s="1">
        <v>54</v>
      </c>
      <c r="K1242" s="1">
        <v>1</v>
      </c>
      <c r="O1242" s="1" t="s">
        <v>1838</v>
      </c>
    </row>
    <row r="1243" spans="1:16" ht="15.75" customHeight="1">
      <c r="A1243" s="1" t="s">
        <v>10</v>
      </c>
      <c r="B1243" s="1" t="s">
        <v>6998</v>
      </c>
      <c r="C1243" s="1" t="s">
        <v>6999</v>
      </c>
      <c r="D1243" s="1" t="s">
        <v>1841</v>
      </c>
      <c r="E1243" s="1" t="s">
        <v>7000</v>
      </c>
      <c r="F1243" s="1" t="s">
        <v>7001</v>
      </c>
      <c r="H1243" s="1">
        <v>1</v>
      </c>
      <c r="I1243" s="1">
        <v>2024</v>
      </c>
      <c r="J1243" s="1">
        <v>167</v>
      </c>
      <c r="O1243" s="1" t="s">
        <v>7002</v>
      </c>
    </row>
    <row r="1244" spans="1:16" ht="15.75" customHeight="1">
      <c r="A1244" s="1" t="s">
        <v>10</v>
      </c>
      <c r="B1244" s="1" t="s">
        <v>1113</v>
      </c>
      <c r="C1244" s="1" t="s">
        <v>1114</v>
      </c>
      <c r="D1244" s="1" t="s">
        <v>1115</v>
      </c>
      <c r="E1244" s="1" t="s">
        <v>1116</v>
      </c>
      <c r="F1244" s="1" t="s">
        <v>1117</v>
      </c>
      <c r="H1244" s="1">
        <v>1</v>
      </c>
      <c r="I1244" s="1">
        <v>2024</v>
      </c>
      <c r="J1244" s="1">
        <v>64</v>
      </c>
      <c r="K1244" s="1">
        <v>2</v>
      </c>
      <c r="O1244" s="1" t="s">
        <v>1118</v>
      </c>
    </row>
    <row r="1245" spans="1:16" ht="15.75" customHeight="1">
      <c r="A1245" s="1" t="s">
        <v>0</v>
      </c>
      <c r="B1245" s="1" t="s">
        <v>1216</v>
      </c>
      <c r="C1245" s="1" t="s">
        <v>1217</v>
      </c>
      <c r="D1245" s="1" t="s">
        <v>1218</v>
      </c>
      <c r="E1245" s="1" t="s">
        <v>1219</v>
      </c>
      <c r="F1245" s="1" t="s">
        <v>1220</v>
      </c>
      <c r="G1245" s="1">
        <v>57</v>
      </c>
      <c r="H1245" s="1">
        <v>1</v>
      </c>
      <c r="I1245" s="1">
        <v>2024</v>
      </c>
      <c r="J1245" s="1">
        <v>30</v>
      </c>
      <c r="K1245" s="1">
        <v>1</v>
      </c>
      <c r="L1245" s="1" t="s">
        <v>6</v>
      </c>
      <c r="M1245" s="1" t="s">
        <v>6</v>
      </c>
      <c r="N1245" s="1" t="s">
        <v>6</v>
      </c>
      <c r="O1245" s="1" t="s">
        <v>1221</v>
      </c>
      <c r="P1245" s="3" t="str">
        <f>HYPERLINK("http://dx.doi.org/10.1002/psp.2737","http://dx.doi.org/10.1002/psp.2737")</f>
        <v>http://dx.doi.org/10.1002/psp.2737</v>
      </c>
    </row>
    <row r="1246" spans="1:16" ht="15.75" customHeight="1">
      <c r="A1246" s="1" t="s">
        <v>10</v>
      </c>
      <c r="B1246" s="1" t="s">
        <v>5596</v>
      </c>
      <c r="C1246" s="1" t="s">
        <v>5597</v>
      </c>
      <c r="D1246" s="1" t="s">
        <v>5598</v>
      </c>
      <c r="F1246" s="1" t="s">
        <v>5599</v>
      </c>
      <c r="H1246" s="1">
        <v>1</v>
      </c>
      <c r="I1246" s="1">
        <v>2024</v>
      </c>
      <c r="J1246" s="1">
        <v>72</v>
      </c>
      <c r="K1246" s="1">
        <v>1</v>
      </c>
      <c r="O1246" s="1" t="s">
        <v>5600</v>
      </c>
    </row>
    <row r="1247" spans="1:16" ht="15.75" customHeight="1">
      <c r="A1247" s="1" t="s">
        <v>0</v>
      </c>
      <c r="B1247" s="1" t="s">
        <v>2904</v>
      </c>
      <c r="C1247" s="1" t="s">
        <v>2905</v>
      </c>
      <c r="D1247" s="1" t="s">
        <v>963</v>
      </c>
      <c r="E1247" s="8" t="s">
        <v>7124</v>
      </c>
      <c r="F1247" s="1" t="s">
        <v>2906</v>
      </c>
      <c r="G1247" s="1">
        <v>63</v>
      </c>
      <c r="H1247" s="1">
        <v>0</v>
      </c>
      <c r="I1247" s="1">
        <v>2024</v>
      </c>
      <c r="J1247" s="1">
        <v>62</v>
      </c>
      <c r="K1247" s="1">
        <v>1</v>
      </c>
      <c r="L1247" s="1">
        <v>159</v>
      </c>
      <c r="M1247" s="1">
        <v>179</v>
      </c>
      <c r="N1247" s="1" t="s">
        <v>6</v>
      </c>
      <c r="O1247" s="1" t="s">
        <v>2907</v>
      </c>
      <c r="P1247" s="3" t="str">
        <f>HYPERLINK("http://dx.doi.org/10.1111/imig.13208","http://dx.doi.org/10.1111/imig.13208")</f>
        <v>http://dx.doi.org/10.1111/imig.13208</v>
      </c>
    </row>
    <row r="1248" spans="1:16" ht="15.75" customHeight="1">
      <c r="A1248" s="1" t="s">
        <v>10</v>
      </c>
      <c r="B1248" s="1" t="s">
        <v>3180</v>
      </c>
      <c r="C1248" s="1" t="s">
        <v>3181</v>
      </c>
      <c r="D1248" s="1" t="s">
        <v>3182</v>
      </c>
      <c r="E1248" s="1" t="s">
        <v>3183</v>
      </c>
      <c r="F1248" s="1" t="s">
        <v>3184</v>
      </c>
      <c r="H1248" s="1">
        <v>0</v>
      </c>
      <c r="I1248" s="1">
        <v>2024</v>
      </c>
      <c r="O1248" s="1" t="s">
        <v>3185</v>
      </c>
    </row>
    <row r="1249" spans="1:16" ht="15.75" customHeight="1">
      <c r="A1249" s="1" t="s">
        <v>10</v>
      </c>
      <c r="B1249" s="1" t="s">
        <v>637</v>
      </c>
      <c r="C1249" s="1" t="s">
        <v>643</v>
      </c>
      <c r="D1249" s="1" t="s">
        <v>644</v>
      </c>
      <c r="E1249" s="1" t="s">
        <v>645</v>
      </c>
      <c r="F1249" s="1" t="s">
        <v>646</v>
      </c>
      <c r="H1249" s="1">
        <v>0</v>
      </c>
      <c r="I1249" s="1">
        <v>2024</v>
      </c>
      <c r="J1249" s="1">
        <v>42</v>
      </c>
      <c r="O1249" s="1" t="s">
        <v>647</v>
      </c>
    </row>
    <row r="1250" spans="1:16" ht="15.75" customHeight="1">
      <c r="A1250" s="1" t="s">
        <v>10</v>
      </c>
      <c r="B1250" s="1" t="s">
        <v>5862</v>
      </c>
      <c r="C1250" s="1" t="s">
        <v>5863</v>
      </c>
      <c r="D1250" s="1" t="s">
        <v>5864</v>
      </c>
      <c r="E1250" s="1" t="s">
        <v>5865</v>
      </c>
      <c r="F1250" s="1" t="s">
        <v>5866</v>
      </c>
      <c r="H1250" s="1">
        <v>0</v>
      </c>
      <c r="I1250" s="1">
        <v>2024</v>
      </c>
      <c r="J1250" s="1">
        <v>14</v>
      </c>
      <c r="K1250" s="1">
        <v>1</v>
      </c>
      <c r="O1250" s="1" t="s">
        <v>5867</v>
      </c>
    </row>
    <row r="1251" spans="1:16" ht="15.75" customHeight="1">
      <c r="A1251" s="1" t="s">
        <v>0</v>
      </c>
      <c r="B1251" s="1" t="s">
        <v>6722</v>
      </c>
      <c r="C1251" s="1" t="s">
        <v>6723</v>
      </c>
      <c r="D1251" s="1" t="s">
        <v>6724</v>
      </c>
      <c r="E1251" s="1" t="s">
        <v>6725</v>
      </c>
      <c r="F1251" s="1" t="s">
        <v>6726</v>
      </c>
      <c r="G1251" s="1">
        <v>149</v>
      </c>
      <c r="H1251" s="1">
        <v>0</v>
      </c>
      <c r="I1251" s="1">
        <v>2024</v>
      </c>
      <c r="J1251" s="1">
        <v>17</v>
      </c>
      <c r="K1251" s="1">
        <v>1</v>
      </c>
      <c r="L1251" s="1">
        <v>31</v>
      </c>
      <c r="M1251" s="1">
        <v>56</v>
      </c>
      <c r="N1251" s="1" t="s">
        <v>6</v>
      </c>
      <c r="O1251" s="1" t="s">
        <v>6727</v>
      </c>
      <c r="P1251" s="3" t="str">
        <f>HYPERLINK("http://dx.doi.org/10.1007/s12187-023-10075-5","http://dx.doi.org/10.1007/s12187-023-10075-5")</f>
        <v>http://dx.doi.org/10.1007/s12187-023-10075-5</v>
      </c>
    </row>
    <row r="1252" spans="1:16" ht="15.75" customHeight="1">
      <c r="A1252" s="1" t="s">
        <v>10</v>
      </c>
      <c r="B1252" s="1" t="s">
        <v>477</v>
      </c>
      <c r="C1252" s="1" t="s">
        <v>478</v>
      </c>
      <c r="D1252" s="1" t="s">
        <v>479</v>
      </c>
      <c r="E1252" s="1" t="s">
        <v>480</v>
      </c>
      <c r="F1252" s="1" t="s">
        <v>481</v>
      </c>
      <c r="H1252" s="1">
        <v>0</v>
      </c>
      <c r="I1252" s="1">
        <v>2024</v>
      </c>
      <c r="O1252" s="1" t="s">
        <v>482</v>
      </c>
    </row>
    <row r="1253" spans="1:16" ht="15.75" customHeight="1">
      <c r="A1253" s="1" t="s">
        <v>10</v>
      </c>
      <c r="B1253" s="1" t="s">
        <v>6563</v>
      </c>
      <c r="C1253" s="1" t="s">
        <v>6564</v>
      </c>
      <c r="D1253" s="1" t="s">
        <v>596</v>
      </c>
      <c r="E1253" s="1" t="s">
        <v>6565</v>
      </c>
      <c r="F1253" s="1" t="s">
        <v>6566</v>
      </c>
      <c r="H1253" s="1">
        <v>0</v>
      </c>
      <c r="I1253" s="1">
        <v>2024</v>
      </c>
      <c r="J1253" s="1">
        <v>47</v>
      </c>
      <c r="K1253" s="1">
        <v>6</v>
      </c>
      <c r="O1253" s="1" t="s">
        <v>6567</v>
      </c>
    </row>
    <row r="1254" spans="1:16" ht="15.75" customHeight="1">
      <c r="A1254" s="1" t="s">
        <v>10</v>
      </c>
      <c r="B1254" s="1" t="s">
        <v>6068</v>
      </c>
      <c r="C1254" s="1" t="s">
        <v>6069</v>
      </c>
      <c r="D1254" s="1" t="s">
        <v>6070</v>
      </c>
      <c r="E1254" s="1" t="s">
        <v>6071</v>
      </c>
      <c r="F1254" s="1" t="s">
        <v>6072</v>
      </c>
      <c r="H1254" s="1">
        <v>0</v>
      </c>
      <c r="I1254" s="1">
        <v>2024</v>
      </c>
      <c r="O1254" s="1" t="s">
        <v>6073</v>
      </c>
    </row>
    <row r="1255" spans="1:16" ht="15.75" customHeight="1">
      <c r="A1255" s="1" t="s">
        <v>10</v>
      </c>
      <c r="B1255" s="1" t="s">
        <v>5939</v>
      </c>
      <c r="C1255" s="1" t="s">
        <v>5940</v>
      </c>
      <c r="D1255" s="1" t="s">
        <v>5941</v>
      </c>
      <c r="E1255" s="1" t="s">
        <v>5942</v>
      </c>
      <c r="F1255" s="1" t="s">
        <v>5943</v>
      </c>
      <c r="H1255" s="1">
        <v>0</v>
      </c>
      <c r="I1255" s="1">
        <v>2024</v>
      </c>
      <c r="J1255" s="1">
        <v>44</v>
      </c>
      <c r="K1255" s="1">
        <v>2</v>
      </c>
      <c r="O1255" s="1" t="s">
        <v>5944</v>
      </c>
    </row>
    <row r="1256" spans="1:16" ht="15.75" customHeight="1">
      <c r="A1256" s="1" t="s">
        <v>10</v>
      </c>
      <c r="B1256" s="1" t="s">
        <v>3153</v>
      </c>
      <c r="C1256" s="1" t="s">
        <v>3154</v>
      </c>
      <c r="D1256" s="1" t="s">
        <v>786</v>
      </c>
      <c r="E1256" s="1" t="s">
        <v>3155</v>
      </c>
      <c r="F1256" s="1" t="s">
        <v>3156</v>
      </c>
      <c r="H1256" s="1">
        <v>0</v>
      </c>
      <c r="I1256" s="1">
        <v>2024</v>
      </c>
      <c r="J1256" s="1">
        <v>9</v>
      </c>
      <c r="O1256" s="1" t="s">
        <v>3157</v>
      </c>
    </row>
    <row r="1257" spans="1:16" ht="15.75" customHeight="1">
      <c r="A1257" s="1" t="s">
        <v>10</v>
      </c>
      <c r="B1257" s="1" t="s">
        <v>2543</v>
      </c>
      <c r="C1257" s="1" t="s">
        <v>2544</v>
      </c>
      <c r="D1257" s="1" t="s">
        <v>2545</v>
      </c>
      <c r="E1257" s="1" t="s">
        <v>2546</v>
      </c>
      <c r="F1257" s="1" t="s">
        <v>2547</v>
      </c>
      <c r="H1257" s="1">
        <v>0</v>
      </c>
      <c r="I1257" s="1">
        <v>2024</v>
      </c>
      <c r="O1257" s="1" t="s">
        <v>2548</v>
      </c>
    </row>
    <row r="1258" spans="1:16" ht="15.75" customHeight="1">
      <c r="A1258" s="1" t="s">
        <v>0</v>
      </c>
      <c r="B1258" s="1" t="s">
        <v>6091</v>
      </c>
      <c r="C1258" s="1" t="s">
        <v>6092</v>
      </c>
      <c r="D1258" s="1" t="s">
        <v>6093</v>
      </c>
      <c r="E1258" s="1" t="s">
        <v>6094</v>
      </c>
      <c r="F1258" s="1" t="s">
        <v>6095</v>
      </c>
      <c r="G1258" s="1">
        <v>44</v>
      </c>
      <c r="H1258" s="1">
        <v>0</v>
      </c>
      <c r="I1258" s="1">
        <v>2024</v>
      </c>
      <c r="J1258" s="1">
        <v>29</v>
      </c>
      <c r="K1258" s="1">
        <v>1</v>
      </c>
      <c r="L1258" s="1" t="s">
        <v>6</v>
      </c>
      <c r="M1258" s="1" t="s">
        <v>6</v>
      </c>
      <c r="N1258" s="1" t="s">
        <v>6</v>
      </c>
      <c r="O1258" s="1" t="s">
        <v>6096</v>
      </c>
      <c r="P1258" s="3" t="str">
        <f>HYPERLINK("http://dx.doi.org/10.15688/jvolsu4.2024.1.21","http://dx.doi.org/10.15688/jvolsu4.2024.1.21")</f>
        <v>http://dx.doi.org/10.15688/jvolsu4.2024.1.21</v>
      </c>
    </row>
    <row r="1259" spans="1:16" ht="15.75" customHeight="1">
      <c r="A1259" s="1" t="s">
        <v>0</v>
      </c>
      <c r="B1259" s="1" t="s">
        <v>3771</v>
      </c>
      <c r="C1259" s="1" t="s">
        <v>3772</v>
      </c>
      <c r="D1259" s="1" t="s">
        <v>3773</v>
      </c>
      <c r="E1259" s="1" t="s">
        <v>3774</v>
      </c>
      <c r="F1259" s="1" t="s">
        <v>3775</v>
      </c>
      <c r="G1259" s="1">
        <v>66</v>
      </c>
      <c r="H1259" s="1">
        <v>0</v>
      </c>
      <c r="I1259" s="1">
        <v>2024</v>
      </c>
      <c r="J1259" s="1">
        <v>49</v>
      </c>
      <c r="K1259" s="1">
        <v>2</v>
      </c>
      <c r="L1259" s="1">
        <v>133</v>
      </c>
      <c r="M1259" s="1">
        <v>155</v>
      </c>
      <c r="N1259" s="1" t="s">
        <v>6</v>
      </c>
      <c r="O1259" s="1" t="s">
        <v>3776</v>
      </c>
      <c r="P1259" s="3" t="str">
        <f>HYPERLINK("http://dx.doi.org/10.1177/03631990231220601","http://dx.doi.org/10.1177/03631990231220601")</f>
        <v>http://dx.doi.org/10.1177/03631990231220601</v>
      </c>
    </row>
    <row r="1260" spans="1:16" ht="15.75" customHeight="1">
      <c r="A1260" s="1" t="s">
        <v>10</v>
      </c>
      <c r="B1260" s="1" t="s">
        <v>3590</v>
      </c>
      <c r="C1260" s="1" t="s">
        <v>3591</v>
      </c>
      <c r="D1260" s="1" t="s">
        <v>946</v>
      </c>
      <c r="E1260" s="1" t="s">
        <v>3592</v>
      </c>
      <c r="F1260" s="1" t="s">
        <v>3593</v>
      </c>
      <c r="H1260" s="1">
        <v>0</v>
      </c>
      <c r="I1260" s="1">
        <v>2024</v>
      </c>
      <c r="O1260" s="1" t="s">
        <v>3594</v>
      </c>
    </row>
    <row r="1261" spans="1:16" ht="15.75" customHeight="1">
      <c r="A1261" s="1" t="s">
        <v>10</v>
      </c>
      <c r="B1261" s="1" t="s">
        <v>1631</v>
      </c>
      <c r="C1261" s="1" t="s">
        <v>1632</v>
      </c>
      <c r="D1261" s="1" t="s">
        <v>1633</v>
      </c>
      <c r="E1261" s="1" t="s">
        <v>1634</v>
      </c>
      <c r="F1261" s="1" t="s">
        <v>1635</v>
      </c>
      <c r="H1261" s="1">
        <v>0</v>
      </c>
      <c r="I1261" s="1">
        <v>2024</v>
      </c>
      <c r="J1261" s="1">
        <v>39</v>
      </c>
      <c r="K1261" s="1">
        <v>2</v>
      </c>
      <c r="O1261" s="1" t="s">
        <v>1636</v>
      </c>
    </row>
    <row r="1262" spans="1:16" ht="15.75" customHeight="1">
      <c r="A1262" s="1" t="s">
        <v>10</v>
      </c>
      <c r="B1262" s="1" t="s">
        <v>4744</v>
      </c>
      <c r="C1262" s="1" t="s">
        <v>4745</v>
      </c>
      <c r="D1262" s="1" t="s">
        <v>1656</v>
      </c>
      <c r="E1262" s="1" t="s">
        <v>4746</v>
      </c>
      <c r="F1262" s="1" t="s">
        <v>4747</v>
      </c>
      <c r="H1262" s="1">
        <v>0</v>
      </c>
      <c r="I1262" s="1">
        <v>2024</v>
      </c>
      <c r="J1262" s="1">
        <v>24</v>
      </c>
      <c r="K1262" s="1">
        <v>1</v>
      </c>
      <c r="O1262" s="1" t="s">
        <v>4748</v>
      </c>
    </row>
    <row r="1263" spans="1:16" ht="15.75" customHeight="1">
      <c r="A1263" s="1" t="s">
        <v>10</v>
      </c>
      <c r="B1263" s="1" t="s">
        <v>5084</v>
      </c>
      <c r="C1263" s="1" t="s">
        <v>5085</v>
      </c>
      <c r="D1263" s="1" t="s">
        <v>5086</v>
      </c>
      <c r="E1263" s="1" t="s">
        <v>5087</v>
      </c>
      <c r="F1263" s="1" t="s">
        <v>5088</v>
      </c>
      <c r="H1263" s="1">
        <v>0</v>
      </c>
      <c r="I1263" s="1">
        <v>2024</v>
      </c>
      <c r="J1263" s="1">
        <v>23</v>
      </c>
      <c r="K1263" s="1">
        <v>1</v>
      </c>
      <c r="O1263" s="1" t="s">
        <v>5089</v>
      </c>
    </row>
    <row r="1264" spans="1:16" ht="15.75" customHeight="1">
      <c r="A1264" s="1" t="s">
        <v>10</v>
      </c>
      <c r="B1264" s="1" t="s">
        <v>6041</v>
      </c>
      <c r="C1264" s="1" t="s">
        <v>6042</v>
      </c>
      <c r="D1264" s="1" t="s">
        <v>6043</v>
      </c>
      <c r="E1264" s="1" t="s">
        <v>6044</v>
      </c>
      <c r="F1264" s="1" t="s">
        <v>6045</v>
      </c>
      <c r="H1264" s="1">
        <v>0</v>
      </c>
      <c r="I1264" s="1">
        <v>2024</v>
      </c>
      <c r="J1264" s="1">
        <v>2024</v>
      </c>
      <c r="K1264" s="1">
        <v>82</v>
      </c>
      <c r="O1264" s="1" t="s">
        <v>6046</v>
      </c>
    </row>
    <row r="1265" spans="1:16" ht="15.75" customHeight="1">
      <c r="A1265" s="1" t="s">
        <v>0</v>
      </c>
      <c r="B1265" s="1" t="s">
        <v>5312</v>
      </c>
      <c r="C1265" s="1" t="s">
        <v>5313</v>
      </c>
      <c r="D1265" s="1" t="s">
        <v>1051</v>
      </c>
      <c r="E1265" s="1" t="s">
        <v>5314</v>
      </c>
      <c r="F1265" s="1" t="s">
        <v>5315</v>
      </c>
      <c r="G1265" s="1">
        <v>78</v>
      </c>
      <c r="H1265" s="1">
        <v>0</v>
      </c>
      <c r="I1265" s="1">
        <v>2024</v>
      </c>
      <c r="J1265" s="1" t="s">
        <v>6</v>
      </c>
      <c r="K1265" s="1" t="s">
        <v>6</v>
      </c>
      <c r="L1265" s="1" t="s">
        <v>6</v>
      </c>
      <c r="M1265" s="1" t="s">
        <v>6</v>
      </c>
      <c r="N1265" s="1" t="s">
        <v>6</v>
      </c>
      <c r="O1265" s="1" t="s">
        <v>5316</v>
      </c>
      <c r="P1265" s="3" t="str">
        <f>HYPERLINK("http://dx.doi.org/10.1111/glob.12486","http://dx.doi.org/10.1111/glob.12486")</f>
        <v>http://dx.doi.org/10.1111/glob.12486</v>
      </c>
    </row>
    <row r="1266" spans="1:16" ht="15.75" customHeight="1">
      <c r="A1266" s="1" t="s">
        <v>10</v>
      </c>
      <c r="B1266" s="1" t="s">
        <v>428</v>
      </c>
      <c r="C1266" s="1" t="s">
        <v>429</v>
      </c>
      <c r="D1266" s="1" t="s">
        <v>430</v>
      </c>
      <c r="E1266" s="1" t="s">
        <v>431</v>
      </c>
      <c r="F1266" s="1" t="s">
        <v>432</v>
      </c>
      <c r="H1266" s="1">
        <v>0</v>
      </c>
      <c r="I1266" s="1">
        <v>2024</v>
      </c>
      <c r="O1266" s="1" t="s">
        <v>433</v>
      </c>
    </row>
    <row r="1267" spans="1:16" ht="15.75" customHeight="1">
      <c r="A1267" s="1" t="s">
        <v>10</v>
      </c>
      <c r="B1267" s="1" t="s">
        <v>3843</v>
      </c>
      <c r="C1267" s="1" t="s">
        <v>3844</v>
      </c>
      <c r="D1267" s="1" t="s">
        <v>3845</v>
      </c>
      <c r="E1267" s="1" t="s">
        <v>3846</v>
      </c>
      <c r="F1267" s="1" t="s">
        <v>3847</v>
      </c>
      <c r="H1267" s="1">
        <v>0</v>
      </c>
      <c r="I1267" s="1">
        <v>2024</v>
      </c>
      <c r="O1267" s="1" t="s">
        <v>3848</v>
      </c>
    </row>
    <row r="1268" spans="1:16" ht="15.75" customHeight="1">
      <c r="A1268" s="1" t="s">
        <v>0</v>
      </c>
      <c r="B1268" s="1" t="s">
        <v>175</v>
      </c>
      <c r="C1268" s="1" t="s">
        <v>176</v>
      </c>
      <c r="D1268" s="1" t="s">
        <v>177</v>
      </c>
      <c r="E1268" s="1" t="s">
        <v>178</v>
      </c>
      <c r="F1268" s="1" t="s">
        <v>179</v>
      </c>
      <c r="G1268" s="1">
        <v>86</v>
      </c>
      <c r="H1268" s="1">
        <v>0</v>
      </c>
      <c r="I1268" s="1">
        <v>2024</v>
      </c>
      <c r="J1268" s="1">
        <v>29</v>
      </c>
      <c r="K1268" s="1">
        <v>45</v>
      </c>
      <c r="L1268" s="1" t="s">
        <v>6</v>
      </c>
      <c r="M1268" s="1" t="s">
        <v>6</v>
      </c>
      <c r="N1268" s="1" t="s">
        <v>6</v>
      </c>
      <c r="O1268" s="1" t="s">
        <v>180</v>
      </c>
      <c r="P1268" s="3" t="str">
        <f>HYPERLINK("http://dx.doi.org/10.17081/just.29.45.7178","http://dx.doi.org/10.17081/just.29.45.7178")</f>
        <v>http://dx.doi.org/10.17081/just.29.45.7178</v>
      </c>
    </row>
    <row r="1269" spans="1:16" ht="15.75" customHeight="1">
      <c r="A1269" s="1" t="s">
        <v>10</v>
      </c>
      <c r="B1269" s="1" t="s">
        <v>6269</v>
      </c>
      <c r="C1269" s="1" t="s">
        <v>6270</v>
      </c>
      <c r="D1269" s="1" t="s">
        <v>6271</v>
      </c>
      <c r="E1269" s="1" t="s">
        <v>6272</v>
      </c>
      <c r="F1269" s="1" t="s">
        <v>6273</v>
      </c>
      <c r="H1269" s="1">
        <v>0</v>
      </c>
      <c r="I1269" s="1">
        <v>2024</v>
      </c>
      <c r="J1269" s="1">
        <v>15</v>
      </c>
      <c r="K1269" s="1">
        <v>1</v>
      </c>
      <c r="O1269" s="1" t="s">
        <v>6274</v>
      </c>
    </row>
    <row r="1270" spans="1:16" ht="15.75" customHeight="1">
      <c r="A1270" s="1" t="s">
        <v>10</v>
      </c>
      <c r="B1270" s="1" t="s">
        <v>239</v>
      </c>
      <c r="C1270" s="1" t="s">
        <v>240</v>
      </c>
      <c r="D1270" s="1" t="s">
        <v>241</v>
      </c>
      <c r="E1270" s="1" t="s">
        <v>242</v>
      </c>
      <c r="F1270" s="1" t="s">
        <v>243</v>
      </c>
      <c r="H1270" s="1">
        <v>0</v>
      </c>
      <c r="I1270" s="1">
        <v>2024</v>
      </c>
      <c r="J1270" s="1">
        <v>14</v>
      </c>
      <c r="K1270" s="1">
        <v>1</v>
      </c>
      <c r="O1270" s="1" t="s">
        <v>244</v>
      </c>
    </row>
    <row r="1271" spans="1:16" ht="15.75" customHeight="1">
      <c r="A1271" s="1" t="s">
        <v>10</v>
      </c>
      <c r="B1271" s="1" t="s">
        <v>164</v>
      </c>
      <c r="C1271" s="1" t="s">
        <v>165</v>
      </c>
      <c r="D1271" s="1" t="s">
        <v>166</v>
      </c>
      <c r="E1271" s="1" t="s">
        <v>167</v>
      </c>
      <c r="F1271" s="1" t="s">
        <v>168</v>
      </c>
      <c r="H1271" s="1">
        <v>0</v>
      </c>
      <c r="I1271" s="1">
        <v>2024</v>
      </c>
      <c r="J1271" s="1">
        <v>62</v>
      </c>
      <c r="K1271" s="1">
        <v>234</v>
      </c>
    </row>
    <row r="1272" spans="1:16" ht="15.75" customHeight="1">
      <c r="A1272" s="1" t="s">
        <v>10</v>
      </c>
      <c r="B1272" s="1" t="s">
        <v>4161</v>
      </c>
      <c r="C1272" s="1" t="s">
        <v>4162</v>
      </c>
      <c r="D1272" s="1" t="s">
        <v>4163</v>
      </c>
      <c r="E1272" s="1" t="s">
        <v>4164</v>
      </c>
      <c r="F1272" s="1" t="s">
        <v>4165</v>
      </c>
      <c r="H1272" s="1">
        <v>0</v>
      </c>
      <c r="I1272" s="1">
        <v>2024</v>
      </c>
      <c r="J1272" s="1">
        <v>46</v>
      </c>
      <c r="K1272" s="1">
        <v>3</v>
      </c>
      <c r="O1272" s="1" t="s">
        <v>4166</v>
      </c>
    </row>
    <row r="1273" spans="1:16" ht="15.75" customHeight="1">
      <c r="A1273" s="1" t="s">
        <v>0</v>
      </c>
      <c r="B1273" s="1" t="s">
        <v>5329</v>
      </c>
      <c r="C1273" s="1" t="s">
        <v>5330</v>
      </c>
      <c r="D1273" s="1" t="s">
        <v>5331</v>
      </c>
      <c r="E1273" s="1" t="s">
        <v>5332</v>
      </c>
      <c r="F1273" s="1" t="s">
        <v>5333</v>
      </c>
      <c r="G1273" s="1">
        <v>4</v>
      </c>
      <c r="H1273" s="1">
        <v>0</v>
      </c>
      <c r="I1273" s="1">
        <v>2024</v>
      </c>
      <c r="J1273" s="1">
        <v>73</v>
      </c>
      <c r="K1273" s="1">
        <v>1</v>
      </c>
      <c r="L1273" s="1">
        <v>177</v>
      </c>
      <c r="M1273" s="1">
        <v>208</v>
      </c>
      <c r="N1273" s="1" t="s">
        <v>6</v>
      </c>
      <c r="O1273" s="1" t="s">
        <v>5334</v>
      </c>
      <c r="P1273" s="3" t="str">
        <f>HYPERLINK("http://dx.doi.org/10.1017/S0020589323000477","http://dx.doi.org/10.1017/S0020589323000477")</f>
        <v>http://dx.doi.org/10.1017/S0020589323000477</v>
      </c>
    </row>
    <row r="1274" spans="1:16" ht="15.75" customHeight="1">
      <c r="A1274" s="1" t="s">
        <v>10</v>
      </c>
      <c r="B1274" s="1" t="s">
        <v>6085</v>
      </c>
      <c r="C1274" s="1" t="s">
        <v>6086</v>
      </c>
      <c r="D1274" s="1" t="s">
        <v>6087</v>
      </c>
      <c r="E1274" s="1" t="s">
        <v>6088</v>
      </c>
      <c r="F1274" s="1" t="s">
        <v>6089</v>
      </c>
      <c r="H1274" s="1">
        <v>0</v>
      </c>
      <c r="I1274" s="1">
        <v>2024</v>
      </c>
      <c r="J1274" s="1">
        <v>12</v>
      </c>
      <c r="K1274" s="1">
        <v>2</v>
      </c>
      <c r="O1274" s="1" t="s">
        <v>6090</v>
      </c>
    </row>
    <row r="1275" spans="1:16" ht="15.75" customHeight="1">
      <c r="A1275" s="1" t="s">
        <v>10</v>
      </c>
      <c r="B1275" s="1" t="s">
        <v>2315</v>
      </c>
      <c r="C1275" s="1" t="s">
        <v>2316</v>
      </c>
      <c r="D1275" s="1" t="s">
        <v>2317</v>
      </c>
      <c r="E1275" s="1" t="s">
        <v>2318</v>
      </c>
      <c r="F1275" s="1" t="s">
        <v>2319</v>
      </c>
      <c r="H1275" s="1">
        <v>0</v>
      </c>
      <c r="I1275" s="1">
        <v>2024</v>
      </c>
      <c r="O1275" s="1" t="s">
        <v>2320</v>
      </c>
    </row>
    <row r="1276" spans="1:16" ht="15.75" customHeight="1">
      <c r="A1276" s="1" t="s">
        <v>10</v>
      </c>
      <c r="B1276" s="1" t="s">
        <v>5786</v>
      </c>
      <c r="C1276" s="1" t="s">
        <v>5787</v>
      </c>
      <c r="D1276" s="1" t="s">
        <v>5788</v>
      </c>
      <c r="E1276" s="1" t="s">
        <v>5789</v>
      </c>
      <c r="F1276" s="1" t="s">
        <v>5790</v>
      </c>
      <c r="H1276" s="1">
        <v>0</v>
      </c>
      <c r="I1276" s="1">
        <v>2024</v>
      </c>
      <c r="O1276" s="1" t="s">
        <v>5791</v>
      </c>
    </row>
    <row r="1277" spans="1:16" ht="15.75" customHeight="1">
      <c r="A1277" s="1" t="s">
        <v>10</v>
      </c>
      <c r="B1277" s="1" t="s">
        <v>6656</v>
      </c>
      <c r="C1277" s="2" t="s">
        <v>6657</v>
      </c>
      <c r="D1277" s="1" t="s">
        <v>6658</v>
      </c>
      <c r="E1277" s="1" t="s">
        <v>6659</v>
      </c>
      <c r="F1277" s="1" t="s">
        <v>6660</v>
      </c>
      <c r="H1277" s="1">
        <v>0</v>
      </c>
      <c r="I1277" s="1">
        <v>2024</v>
      </c>
      <c r="J1277" s="1">
        <v>14</v>
      </c>
      <c r="K1277" s="1">
        <v>3</v>
      </c>
      <c r="O1277" s="1" t="s">
        <v>6661</v>
      </c>
    </row>
    <row r="1278" spans="1:16" ht="15.75" customHeight="1">
      <c r="A1278" s="1" t="s">
        <v>10</v>
      </c>
      <c r="B1278" s="1" t="s">
        <v>3897</v>
      </c>
      <c r="C1278" s="1" t="s">
        <v>3898</v>
      </c>
      <c r="D1278" s="1" t="s">
        <v>3899</v>
      </c>
      <c r="E1278" s="1" t="s">
        <v>3900</v>
      </c>
      <c r="F1278" s="1" t="s">
        <v>3901</v>
      </c>
      <c r="H1278" s="1">
        <v>0</v>
      </c>
      <c r="I1278" s="1">
        <v>2024</v>
      </c>
      <c r="J1278" s="1">
        <v>25</v>
      </c>
      <c r="O1278" s="1" t="s">
        <v>3902</v>
      </c>
    </row>
    <row r="1279" spans="1:16" ht="15.75" customHeight="1">
      <c r="A1279" s="1" t="s">
        <v>10</v>
      </c>
      <c r="B1279" s="1" t="s">
        <v>2779</v>
      </c>
      <c r="C1279" s="1" t="s">
        <v>2780</v>
      </c>
      <c r="D1279" s="1" t="s">
        <v>1633</v>
      </c>
      <c r="E1279" s="1" t="s">
        <v>2781</v>
      </c>
      <c r="F1279" s="1" t="s">
        <v>2782</v>
      </c>
      <c r="H1279" s="1">
        <v>0</v>
      </c>
      <c r="I1279" s="1">
        <v>2024</v>
      </c>
      <c r="J1279" s="1">
        <v>39</v>
      </c>
      <c r="K1279" s="1">
        <v>1</v>
      </c>
      <c r="O1279" s="1" t="s">
        <v>2783</v>
      </c>
    </row>
    <row r="1280" spans="1:16" ht="15.75" customHeight="1">
      <c r="A1280" s="1" t="s">
        <v>10</v>
      </c>
      <c r="B1280" s="1" t="s">
        <v>2559</v>
      </c>
      <c r="C1280" s="1" t="s">
        <v>2560</v>
      </c>
      <c r="D1280" s="1" t="s">
        <v>1627</v>
      </c>
      <c r="E1280" s="1" t="s">
        <v>2561</v>
      </c>
      <c r="F1280" s="1" t="s">
        <v>2562</v>
      </c>
      <c r="H1280" s="1">
        <v>0</v>
      </c>
      <c r="I1280" s="1">
        <v>2024</v>
      </c>
      <c r="J1280" s="1">
        <v>17</v>
      </c>
      <c r="K1280" s="1">
        <v>1</v>
      </c>
      <c r="O1280" s="1" t="s">
        <v>2563</v>
      </c>
    </row>
    <row r="1281" spans="1:16" ht="15.75" customHeight="1">
      <c r="A1281" s="1" t="s">
        <v>10</v>
      </c>
      <c r="B1281" s="1" t="s">
        <v>3739</v>
      </c>
      <c r="C1281" s="1" t="s">
        <v>3740</v>
      </c>
      <c r="D1281" s="1" t="s">
        <v>166</v>
      </c>
      <c r="E1281" s="1" t="s">
        <v>3741</v>
      </c>
      <c r="F1281" s="1" t="s">
        <v>3742</v>
      </c>
      <c r="H1281" s="1">
        <v>0</v>
      </c>
      <c r="I1281" s="1">
        <v>2024</v>
      </c>
      <c r="J1281" s="1">
        <v>62</v>
      </c>
      <c r="K1281" s="1">
        <v>234</v>
      </c>
    </row>
    <row r="1282" spans="1:16" ht="15.75" customHeight="1">
      <c r="A1282" s="1" t="s">
        <v>0</v>
      </c>
      <c r="B1282" s="1" t="s">
        <v>2065</v>
      </c>
      <c r="C1282" s="1" t="s">
        <v>2066</v>
      </c>
      <c r="D1282" s="1" t="s">
        <v>2067</v>
      </c>
      <c r="E1282" s="1" t="s">
        <v>2068</v>
      </c>
      <c r="F1282" s="1" t="s">
        <v>2069</v>
      </c>
      <c r="G1282" s="1">
        <v>68</v>
      </c>
      <c r="H1282" s="1">
        <v>0</v>
      </c>
      <c r="I1282" s="1">
        <v>2024</v>
      </c>
      <c r="J1282" s="1" t="s">
        <v>6</v>
      </c>
      <c r="K1282" s="1" t="s">
        <v>6</v>
      </c>
      <c r="L1282" s="1" t="s">
        <v>6</v>
      </c>
      <c r="M1282" s="1" t="s">
        <v>6</v>
      </c>
      <c r="N1282" s="1" t="s">
        <v>6</v>
      </c>
      <c r="O1282" s="1" t="s">
        <v>2070</v>
      </c>
      <c r="P1282" s="3" t="str">
        <f>HYPERLINK("http://dx.doi.org/10.1093/wbro/lkae009","http://dx.doi.org/10.1093/wbro/lkae009")</f>
        <v>http://dx.doi.org/10.1093/wbro/lkae009</v>
      </c>
    </row>
    <row r="1283" spans="1:16" ht="15.75" customHeight="1">
      <c r="A1283" s="1" t="s">
        <v>0</v>
      </c>
      <c r="B1283" s="1" t="s">
        <v>38</v>
      </c>
      <c r="C1283" s="1" t="s">
        <v>39</v>
      </c>
      <c r="D1283" s="1" t="s">
        <v>40</v>
      </c>
      <c r="E1283" s="1" t="s">
        <v>41</v>
      </c>
      <c r="F1283" s="1" t="s">
        <v>42</v>
      </c>
      <c r="G1283" s="1">
        <v>68</v>
      </c>
      <c r="H1283" s="1">
        <v>0</v>
      </c>
      <c r="I1283" s="1">
        <v>2024</v>
      </c>
      <c r="J1283" s="1" t="s">
        <v>6</v>
      </c>
      <c r="K1283" s="1" t="s">
        <v>6</v>
      </c>
      <c r="L1283" s="1" t="s">
        <v>6</v>
      </c>
      <c r="M1283" s="1" t="s">
        <v>6</v>
      </c>
      <c r="N1283" s="1" t="s">
        <v>6</v>
      </c>
      <c r="O1283" s="1" t="s">
        <v>43</v>
      </c>
      <c r="P1283" s="3" t="str">
        <f>HYPERLINK("http://dx.doi.org/10.1007/s10734-024-01213-1","http://dx.doi.org/10.1007/s10734-024-01213-1")</f>
        <v>http://dx.doi.org/10.1007/s10734-024-01213-1</v>
      </c>
    </row>
    <row r="1284" spans="1:16" ht="15.75" customHeight="1">
      <c r="A1284" s="1" t="s">
        <v>0</v>
      </c>
      <c r="B1284" s="1" t="s">
        <v>3909</v>
      </c>
      <c r="C1284" s="1" t="s">
        <v>3910</v>
      </c>
      <c r="D1284" s="1" t="s">
        <v>3911</v>
      </c>
      <c r="E1284" s="1" t="s">
        <v>3912</v>
      </c>
      <c r="F1284" s="1" t="s">
        <v>3913</v>
      </c>
      <c r="G1284" s="1">
        <v>70</v>
      </c>
      <c r="H1284" s="1">
        <v>0</v>
      </c>
      <c r="I1284" s="1">
        <v>2024</v>
      </c>
      <c r="J1284" s="1">
        <v>39</v>
      </c>
      <c r="K1284" s="1">
        <v>3</v>
      </c>
      <c r="L1284" s="1">
        <v>387</v>
      </c>
      <c r="M1284" s="1">
        <v>409</v>
      </c>
      <c r="N1284" s="1" t="s">
        <v>6</v>
      </c>
      <c r="O1284" s="1" t="s">
        <v>3914</v>
      </c>
      <c r="P1284" s="3" t="str">
        <f>HYPERLINK("http://dx.doi.org/10.1080/08865655.2022.2115387","http://dx.doi.org/10.1080/08865655.2022.2115387")</f>
        <v>http://dx.doi.org/10.1080/08865655.2022.2115387</v>
      </c>
    </row>
    <row r="1285" spans="1:16" ht="15.75" customHeight="1">
      <c r="A1285" s="1" t="s">
        <v>0</v>
      </c>
      <c r="B1285" s="1" t="s">
        <v>1807</v>
      </c>
      <c r="C1285" s="1" t="s">
        <v>1808</v>
      </c>
      <c r="D1285" s="1" t="s">
        <v>1809</v>
      </c>
      <c r="E1285" s="1" t="s">
        <v>1810</v>
      </c>
      <c r="F1285" s="1" t="s">
        <v>1811</v>
      </c>
      <c r="G1285" s="1">
        <v>65</v>
      </c>
      <c r="H1285" s="1">
        <v>0</v>
      </c>
      <c r="I1285" s="1">
        <v>2024</v>
      </c>
      <c r="J1285" s="1">
        <v>52</v>
      </c>
      <c r="K1285" s="1">
        <v>2</v>
      </c>
      <c r="L1285" s="1">
        <v>241</v>
      </c>
      <c r="M1285" s="1">
        <v>258</v>
      </c>
      <c r="N1285" s="1" t="s">
        <v>6</v>
      </c>
      <c r="O1285" s="1" t="s">
        <v>1812</v>
      </c>
      <c r="P1285" s="3" t="str">
        <f>HYPERLINK("http://dx.doi.org/10.1111/etho.12431","http://dx.doi.org/10.1111/etho.12431")</f>
        <v>http://dx.doi.org/10.1111/etho.12431</v>
      </c>
    </row>
    <row r="1286" spans="1:16" ht="15.75" customHeight="1">
      <c r="A1286" s="1" t="s">
        <v>0</v>
      </c>
      <c r="B1286" s="1" t="s">
        <v>822</v>
      </c>
      <c r="C1286" s="1" t="s">
        <v>823</v>
      </c>
      <c r="D1286" s="1" t="s">
        <v>824</v>
      </c>
      <c r="E1286" s="1" t="s">
        <v>825</v>
      </c>
      <c r="F1286" s="1" t="s">
        <v>826</v>
      </c>
      <c r="G1286" s="1">
        <v>67</v>
      </c>
      <c r="H1286" s="1">
        <v>0</v>
      </c>
      <c r="I1286" s="1">
        <v>2024</v>
      </c>
      <c r="J1286" s="1" t="s">
        <v>6</v>
      </c>
      <c r="K1286" s="1" t="s">
        <v>6</v>
      </c>
      <c r="L1286" s="1" t="s">
        <v>6</v>
      </c>
      <c r="M1286" s="1" t="s">
        <v>6</v>
      </c>
      <c r="N1286" s="1" t="s">
        <v>6</v>
      </c>
      <c r="O1286" s="1" t="s">
        <v>827</v>
      </c>
      <c r="P1286" s="3" t="str">
        <f>HYPERLINK("http://dx.doi.org/10.1080/01419870.2024.2349268","http://dx.doi.org/10.1080/01419870.2024.2349268")</f>
        <v>http://dx.doi.org/10.1080/01419870.2024.2349268</v>
      </c>
    </row>
    <row r="1287" spans="1:16" ht="15.75" customHeight="1">
      <c r="A1287" s="1" t="s">
        <v>0</v>
      </c>
      <c r="B1287" s="1" t="s">
        <v>1797</v>
      </c>
      <c r="C1287" s="1" t="s">
        <v>1798</v>
      </c>
      <c r="D1287" s="1" t="s">
        <v>776</v>
      </c>
      <c r="E1287" s="1" t="s">
        <v>1799</v>
      </c>
      <c r="F1287" s="1" t="s">
        <v>1800</v>
      </c>
      <c r="G1287" s="1">
        <v>57</v>
      </c>
      <c r="H1287" s="1">
        <v>0</v>
      </c>
      <c r="I1287" s="1">
        <v>2024</v>
      </c>
      <c r="J1287" s="1" t="s">
        <v>6</v>
      </c>
      <c r="K1287" s="1" t="s">
        <v>6</v>
      </c>
      <c r="L1287" s="1" t="s">
        <v>6</v>
      </c>
      <c r="M1287" s="1" t="s">
        <v>6</v>
      </c>
      <c r="N1287" s="1" t="s">
        <v>6</v>
      </c>
      <c r="O1287" s="1" t="s">
        <v>1801</v>
      </c>
      <c r="P1287" s="3" t="str">
        <f>HYPERLINK("http://dx.doi.org/10.1177/01979183231223700","http://dx.doi.org/10.1177/01979183231223700")</f>
        <v>http://dx.doi.org/10.1177/01979183231223700</v>
      </c>
    </row>
    <row r="1288" spans="1:16" ht="15.75" customHeight="1">
      <c r="A1288" s="1" t="s">
        <v>0</v>
      </c>
      <c r="B1288" s="1" t="s">
        <v>3466</v>
      </c>
      <c r="C1288" s="1" t="s">
        <v>3467</v>
      </c>
      <c r="D1288" s="1" t="s">
        <v>808</v>
      </c>
      <c r="E1288" s="1" t="s">
        <v>3468</v>
      </c>
      <c r="F1288" s="1" t="s">
        <v>3469</v>
      </c>
      <c r="G1288" s="1">
        <v>30</v>
      </c>
      <c r="H1288" s="1">
        <v>0</v>
      </c>
      <c r="I1288" s="1">
        <v>2024</v>
      </c>
      <c r="J1288" s="1" t="s">
        <v>6</v>
      </c>
      <c r="K1288" s="1" t="s">
        <v>6</v>
      </c>
      <c r="L1288" s="1" t="s">
        <v>6</v>
      </c>
      <c r="M1288" s="1" t="s">
        <v>6</v>
      </c>
      <c r="N1288" s="1" t="s">
        <v>6</v>
      </c>
      <c r="O1288" s="1" t="s">
        <v>3470</v>
      </c>
      <c r="P1288" s="3" t="str">
        <f>HYPERLINK("http://dx.doi.org/10.1080/17442222.2024.2306119","http://dx.doi.org/10.1080/17442222.2024.2306119")</f>
        <v>http://dx.doi.org/10.1080/17442222.2024.2306119</v>
      </c>
    </row>
    <row r="1289" spans="1:16" ht="15.75" customHeight="1">
      <c r="A1289" s="1" t="s">
        <v>0</v>
      </c>
      <c r="B1289" s="1" t="s">
        <v>3316</v>
      </c>
      <c r="C1289" s="1" t="s">
        <v>3317</v>
      </c>
      <c r="D1289" s="1" t="s">
        <v>3318</v>
      </c>
      <c r="E1289" s="1" t="s">
        <v>3319</v>
      </c>
      <c r="F1289" s="1" t="s">
        <v>3320</v>
      </c>
      <c r="G1289" s="1">
        <v>68</v>
      </c>
      <c r="H1289" s="1">
        <v>0</v>
      </c>
      <c r="I1289" s="1">
        <v>2024</v>
      </c>
      <c r="J1289" s="1" t="s">
        <v>6</v>
      </c>
      <c r="K1289" s="1" t="s">
        <v>6</v>
      </c>
      <c r="L1289" s="1" t="s">
        <v>6</v>
      </c>
      <c r="M1289" s="1" t="s">
        <v>6</v>
      </c>
      <c r="N1289" s="1" t="s">
        <v>6</v>
      </c>
      <c r="O1289" s="1" t="s">
        <v>3321</v>
      </c>
      <c r="P1289" s="3" t="str">
        <f>HYPERLINK("http://dx.doi.org/10.1080/02673037.2024.2322124","http://dx.doi.org/10.1080/02673037.2024.2322124")</f>
        <v>http://dx.doi.org/10.1080/02673037.2024.2322124</v>
      </c>
    </row>
    <row r="1290" spans="1:16" ht="15.75" customHeight="1">
      <c r="A1290" s="1" t="s">
        <v>10</v>
      </c>
      <c r="B1290" s="1" t="s">
        <v>5069</v>
      </c>
      <c r="C1290" s="1" t="s">
        <v>5070</v>
      </c>
      <c r="D1290" s="1" t="s">
        <v>473</v>
      </c>
      <c r="E1290" s="1" t="s">
        <v>5071</v>
      </c>
      <c r="F1290" s="1" t="s">
        <v>5072</v>
      </c>
      <c r="H1290" s="1">
        <v>0</v>
      </c>
      <c r="I1290" s="1">
        <v>2024</v>
      </c>
      <c r="J1290" s="1">
        <v>50</v>
      </c>
      <c r="K1290" s="1">
        <v>149</v>
      </c>
      <c r="O1290" s="1" t="s">
        <v>5073</v>
      </c>
    </row>
    <row r="1291" spans="1:16" ht="15.75" customHeight="1">
      <c r="A1291" s="1" t="s">
        <v>0</v>
      </c>
      <c r="B1291" s="1" t="s">
        <v>1078</v>
      </c>
      <c r="C1291" s="1" t="s">
        <v>1079</v>
      </c>
      <c r="D1291" s="1" t="s">
        <v>1080</v>
      </c>
      <c r="E1291" s="1" t="s">
        <v>1081</v>
      </c>
      <c r="F1291" s="1" t="s">
        <v>1082</v>
      </c>
      <c r="G1291" s="1">
        <v>40</v>
      </c>
      <c r="H1291" s="1">
        <v>0</v>
      </c>
      <c r="I1291" s="1">
        <v>2024</v>
      </c>
      <c r="J1291" s="1" t="s">
        <v>6</v>
      </c>
      <c r="K1291" s="1">
        <v>40</v>
      </c>
      <c r="L1291" s="1">
        <v>115</v>
      </c>
      <c r="M1291" s="1">
        <v>136</v>
      </c>
      <c r="N1291" s="1" t="s">
        <v>6</v>
      </c>
      <c r="O1291" s="1" t="s">
        <v>1083</v>
      </c>
      <c r="P1291" s="3" t="str">
        <f>HYPERLINK("http://dx.doi.org/10.17163/uni.n40.2024.05","http://dx.doi.org/10.17163/uni.n40.2024.05")</f>
        <v>http://dx.doi.org/10.17163/uni.n40.2024.05</v>
      </c>
    </row>
    <row r="1292" spans="1:16" ht="15.75" customHeight="1">
      <c r="A1292" s="1" t="s">
        <v>10</v>
      </c>
      <c r="B1292" s="1" t="s">
        <v>5562</v>
      </c>
      <c r="C1292" s="1" t="s">
        <v>5563</v>
      </c>
      <c r="D1292" s="1" t="s">
        <v>166</v>
      </c>
      <c r="E1292" s="1" t="s">
        <v>5564</v>
      </c>
      <c r="F1292" s="1" t="s">
        <v>5565</v>
      </c>
      <c r="H1292" s="1">
        <v>0</v>
      </c>
      <c r="I1292" s="1">
        <v>2024</v>
      </c>
      <c r="J1292" s="1">
        <v>62</v>
      </c>
      <c r="K1292" s="1">
        <v>234</v>
      </c>
    </row>
    <row r="1293" spans="1:16" ht="15.75" customHeight="1">
      <c r="A1293" s="1" t="s">
        <v>10</v>
      </c>
      <c r="B1293" s="1" t="s">
        <v>4218</v>
      </c>
      <c r="C1293" s="1" t="s">
        <v>4219</v>
      </c>
      <c r="D1293" s="1" t="s">
        <v>4014</v>
      </c>
      <c r="E1293" s="1" t="s">
        <v>4220</v>
      </c>
      <c r="F1293" s="1" t="s">
        <v>4221</v>
      </c>
      <c r="H1293" s="1">
        <v>0</v>
      </c>
      <c r="I1293" s="1">
        <v>2024</v>
      </c>
      <c r="J1293" s="1">
        <v>47</v>
      </c>
      <c r="K1293" s="1">
        <v>1</v>
      </c>
      <c r="O1293" s="1" t="s">
        <v>4222</v>
      </c>
    </row>
    <row r="1294" spans="1:16" ht="15.75" customHeight="1">
      <c r="A1294" s="1" t="s">
        <v>0</v>
      </c>
      <c r="B1294" s="1" t="s">
        <v>507</v>
      </c>
      <c r="C1294" s="1" t="s">
        <v>508</v>
      </c>
      <c r="D1294" s="1" t="s">
        <v>509</v>
      </c>
      <c r="E1294" s="1" t="s">
        <v>510</v>
      </c>
      <c r="F1294" s="1" t="s">
        <v>511</v>
      </c>
      <c r="G1294" s="1">
        <v>96</v>
      </c>
      <c r="H1294" s="1">
        <v>0</v>
      </c>
      <c r="I1294" s="1">
        <v>2024</v>
      </c>
      <c r="J1294" s="1">
        <v>100</v>
      </c>
      <c r="K1294" s="1" t="s">
        <v>6</v>
      </c>
      <c r="L1294" s="1" t="s">
        <v>6</v>
      </c>
      <c r="M1294" s="1" t="s">
        <v>6</v>
      </c>
      <c r="N1294" s="1">
        <v>101972</v>
      </c>
      <c r="O1294" s="1" t="s">
        <v>512</v>
      </c>
      <c r="P1294" s="3" t="str">
        <f>HYPERLINK("http://dx.doi.org/10.1016/j.ijintrel.2024.101972","http://dx.doi.org/10.1016/j.ijintrel.2024.101972")</f>
        <v>http://dx.doi.org/10.1016/j.ijintrel.2024.101972</v>
      </c>
    </row>
    <row r="1295" spans="1:16" ht="15.75" customHeight="1">
      <c r="A1295" s="1" t="s">
        <v>0</v>
      </c>
      <c r="B1295" s="1" t="s">
        <v>920</v>
      </c>
      <c r="C1295" s="1" t="s">
        <v>921</v>
      </c>
      <c r="D1295" s="1" t="s">
        <v>922</v>
      </c>
      <c r="E1295" s="1" t="s">
        <v>923</v>
      </c>
      <c r="F1295" s="1" t="s">
        <v>924</v>
      </c>
      <c r="G1295" s="1">
        <v>72</v>
      </c>
      <c r="H1295" s="1">
        <v>0</v>
      </c>
      <c r="I1295" s="1">
        <v>2024</v>
      </c>
      <c r="J1295" s="1">
        <v>11</v>
      </c>
      <c r="K1295" s="1" t="s">
        <v>6</v>
      </c>
      <c r="L1295" s="1">
        <v>489</v>
      </c>
      <c r="M1295" s="1">
        <v>516</v>
      </c>
      <c r="N1295" s="1" t="s">
        <v>6</v>
      </c>
      <c r="O1295" s="1" t="s">
        <v>925</v>
      </c>
      <c r="P1295" s="3" t="str">
        <f>HYPERLINK("http://dx.doi.org/10.15195/v11.a18","http://dx.doi.org/10.15195/v11.a18")</f>
        <v>http://dx.doi.org/10.15195/v11.a18</v>
      </c>
    </row>
    <row r="1296" spans="1:16" ht="15.75" customHeight="1">
      <c r="A1296" s="1" t="s">
        <v>0</v>
      </c>
      <c r="B1296" s="1" t="s">
        <v>316</v>
      </c>
      <c r="C1296" s="1" t="s">
        <v>317</v>
      </c>
      <c r="D1296" s="1" t="s">
        <v>318</v>
      </c>
      <c r="E1296" s="1" t="s">
        <v>319</v>
      </c>
      <c r="F1296" s="1" t="s">
        <v>320</v>
      </c>
      <c r="G1296" s="1">
        <v>47</v>
      </c>
      <c r="H1296" s="1">
        <v>0</v>
      </c>
      <c r="I1296" s="1">
        <v>2024</v>
      </c>
      <c r="J1296" s="1" t="s">
        <v>6</v>
      </c>
      <c r="K1296" s="1" t="s">
        <v>6</v>
      </c>
      <c r="L1296" s="1" t="s">
        <v>6</v>
      </c>
      <c r="M1296" s="1" t="s">
        <v>6</v>
      </c>
      <c r="N1296" s="1" t="s">
        <v>6</v>
      </c>
      <c r="O1296" s="1" t="s">
        <v>321</v>
      </c>
      <c r="P1296" s="3" t="str">
        <f>HYPERLINK("http://dx.doi.org/10.1017/S003329172400117X","http://dx.doi.org/10.1017/S003329172400117X")</f>
        <v>http://dx.doi.org/10.1017/S003329172400117X</v>
      </c>
    </row>
    <row r="1297" spans="1:16" ht="15.75" customHeight="1">
      <c r="A1297" s="1" t="s">
        <v>10</v>
      </c>
      <c r="B1297" s="1" t="s">
        <v>2898</v>
      </c>
      <c r="C1297" s="1" t="s">
        <v>2899</v>
      </c>
      <c r="D1297" s="1" t="s">
        <v>2900</v>
      </c>
      <c r="E1297" s="1" t="s">
        <v>2901</v>
      </c>
      <c r="F1297" s="1" t="s">
        <v>2902</v>
      </c>
      <c r="H1297" s="1">
        <v>0</v>
      </c>
      <c r="I1297" s="1">
        <v>2024</v>
      </c>
      <c r="J1297" s="1">
        <v>249</v>
      </c>
      <c r="O1297" s="1" t="s">
        <v>2903</v>
      </c>
    </row>
    <row r="1298" spans="1:16" ht="15.75" customHeight="1">
      <c r="A1298" s="1" t="s">
        <v>10</v>
      </c>
      <c r="B1298" s="1" t="s">
        <v>4550</v>
      </c>
      <c r="C1298" s="1" t="s">
        <v>4551</v>
      </c>
      <c r="D1298" s="1" t="s">
        <v>3018</v>
      </c>
      <c r="E1298" s="1" t="s">
        <v>4552</v>
      </c>
      <c r="F1298" s="1" t="s">
        <v>4553</v>
      </c>
      <c r="H1298" s="1">
        <v>0</v>
      </c>
      <c r="I1298" s="1">
        <v>2024</v>
      </c>
      <c r="J1298" s="1">
        <v>105</v>
      </c>
      <c r="O1298" s="1" t="s">
        <v>4554</v>
      </c>
    </row>
    <row r="1299" spans="1:16" ht="15.75" customHeight="1">
      <c r="A1299" s="1" t="s">
        <v>10</v>
      </c>
      <c r="B1299" s="1" t="s">
        <v>5053</v>
      </c>
      <c r="C1299" s="1" t="s">
        <v>5054</v>
      </c>
      <c r="D1299" s="1" t="s">
        <v>5055</v>
      </c>
      <c r="E1299" s="1" t="s">
        <v>5056</v>
      </c>
      <c r="F1299" s="1" t="s">
        <v>5057</v>
      </c>
      <c r="H1299" s="1">
        <v>0</v>
      </c>
      <c r="I1299" s="1">
        <v>2024</v>
      </c>
      <c r="O1299" s="1" t="s">
        <v>5058</v>
      </c>
    </row>
    <row r="1300" spans="1:16" ht="15.75" customHeight="1">
      <c r="A1300" s="1" t="s">
        <v>0</v>
      </c>
      <c r="B1300" s="1" t="s">
        <v>1037</v>
      </c>
      <c r="C1300" s="1" t="s">
        <v>1038</v>
      </c>
      <c r="D1300" s="1" t="s">
        <v>1039</v>
      </c>
      <c r="E1300" s="1" t="s">
        <v>1040</v>
      </c>
      <c r="F1300" s="1" t="s">
        <v>1041</v>
      </c>
      <c r="G1300" s="1">
        <v>67</v>
      </c>
      <c r="H1300" s="1">
        <v>0</v>
      </c>
      <c r="I1300" s="1">
        <v>2024</v>
      </c>
      <c r="J1300" s="1">
        <v>19</v>
      </c>
      <c r="K1300" s="1" t="s">
        <v>6</v>
      </c>
      <c r="L1300" s="1" t="s">
        <v>6</v>
      </c>
      <c r="M1300" s="1" t="s">
        <v>6</v>
      </c>
      <c r="N1300" s="1">
        <v>3</v>
      </c>
      <c r="O1300" s="1" t="s">
        <v>1042</v>
      </c>
      <c r="P1300" s="3" t="str">
        <f>HYPERLINK("http://dx.doi.org/10.4067/s0718-50652024000100203","http://dx.doi.org/10.4067/s0718-50652024000100203")</f>
        <v>http://dx.doi.org/10.4067/s0718-50652024000100203</v>
      </c>
    </row>
    <row r="1301" spans="1:16" ht="15.75" customHeight="1">
      <c r="A1301" s="1" t="s">
        <v>10</v>
      </c>
      <c r="B1301" s="1" t="s">
        <v>501</v>
      </c>
      <c r="C1301" s="1" t="s">
        <v>502</v>
      </c>
      <c r="D1301" s="1" t="s">
        <v>503</v>
      </c>
      <c r="E1301" s="1" t="s">
        <v>504</v>
      </c>
      <c r="F1301" s="1" t="s">
        <v>505</v>
      </c>
      <c r="H1301" s="1">
        <v>0</v>
      </c>
      <c r="I1301" s="1">
        <v>2024</v>
      </c>
      <c r="J1301" s="1">
        <v>119</v>
      </c>
      <c r="O1301" s="1" t="s">
        <v>506</v>
      </c>
    </row>
    <row r="1302" spans="1:16" ht="15.75" customHeight="1">
      <c r="A1302" s="1" t="s">
        <v>10</v>
      </c>
      <c r="B1302" s="1" t="s">
        <v>1625</v>
      </c>
      <c r="C1302" s="1" t="s">
        <v>1626</v>
      </c>
      <c r="D1302" s="1" t="s">
        <v>1627</v>
      </c>
      <c r="E1302" s="1" t="s">
        <v>1628</v>
      </c>
      <c r="F1302" s="1" t="s">
        <v>1629</v>
      </c>
      <c r="H1302" s="1">
        <v>0</v>
      </c>
      <c r="I1302" s="1">
        <v>2024</v>
      </c>
      <c r="J1302" s="1">
        <v>17</v>
      </c>
      <c r="K1302" s="1">
        <v>1</v>
      </c>
      <c r="O1302" s="1" t="s">
        <v>1630</v>
      </c>
    </row>
    <row r="1303" spans="1:16" ht="15.75" customHeight="1">
      <c r="A1303" s="1" t="s">
        <v>0</v>
      </c>
      <c r="B1303" s="1" t="s">
        <v>3112</v>
      </c>
      <c r="C1303" s="1" t="s">
        <v>3113</v>
      </c>
      <c r="D1303" s="1" t="s">
        <v>3114</v>
      </c>
      <c r="E1303" s="1" t="s">
        <v>3115</v>
      </c>
      <c r="F1303" s="1" t="s">
        <v>3116</v>
      </c>
      <c r="G1303" s="1">
        <v>50</v>
      </c>
      <c r="H1303" s="1">
        <v>0</v>
      </c>
      <c r="I1303" s="1">
        <v>2024</v>
      </c>
      <c r="J1303" s="1">
        <v>49</v>
      </c>
      <c r="K1303" s="1">
        <v>1</v>
      </c>
      <c r="L1303" s="1">
        <v>91</v>
      </c>
      <c r="M1303" s="1">
        <v>112</v>
      </c>
      <c r="N1303" s="1" t="s">
        <v>6</v>
      </c>
      <c r="O1303" s="1" t="s">
        <v>3117</v>
      </c>
      <c r="P1303" s="3" t="str">
        <f>HYPERLINK("http://dx.doi.org/10.1080/08263663.2023.2271302","http://dx.doi.org/10.1080/08263663.2023.2271302")</f>
        <v>http://dx.doi.org/10.1080/08263663.2023.2271302</v>
      </c>
    </row>
    <row r="1304" spans="1:16" ht="15.75" customHeight="1">
      <c r="A1304" s="1" t="s">
        <v>10</v>
      </c>
      <c r="B1304" s="1" t="s">
        <v>758</v>
      </c>
      <c r="C1304" s="1" t="s">
        <v>759</v>
      </c>
      <c r="D1304" s="1" t="s">
        <v>760</v>
      </c>
      <c r="E1304" s="1" t="s">
        <v>761</v>
      </c>
      <c r="F1304" s="1" t="s">
        <v>762</v>
      </c>
      <c r="H1304" s="1">
        <v>0</v>
      </c>
      <c r="I1304" s="1">
        <v>2024</v>
      </c>
      <c r="O1304" s="1" t="s">
        <v>763</v>
      </c>
    </row>
    <row r="1305" spans="1:16" ht="15.75" customHeight="1">
      <c r="A1305" s="1" t="s">
        <v>0</v>
      </c>
      <c r="B1305" s="1" t="s">
        <v>4513</v>
      </c>
      <c r="C1305" s="1" t="s">
        <v>4514</v>
      </c>
      <c r="D1305" s="1" t="s">
        <v>2300</v>
      </c>
      <c r="E1305" s="1" t="s">
        <v>4515</v>
      </c>
      <c r="F1305" s="1" t="s">
        <v>4516</v>
      </c>
      <c r="G1305" s="1">
        <v>41</v>
      </c>
      <c r="H1305" s="1">
        <v>0</v>
      </c>
      <c r="I1305" s="1">
        <v>2024</v>
      </c>
      <c r="J1305" s="1">
        <v>6</v>
      </c>
      <c r="K1305" s="1" t="s">
        <v>6</v>
      </c>
      <c r="L1305" s="1" t="s">
        <v>6</v>
      </c>
      <c r="M1305" s="1" t="s">
        <v>6</v>
      </c>
      <c r="N1305" s="1">
        <v>1270601</v>
      </c>
      <c r="O1305" s="1" t="s">
        <v>4517</v>
      </c>
      <c r="P1305" s="3" t="str">
        <f>HYPERLINK("http://dx.doi.org/10.3389/fhumd.2024.1270601","http://dx.doi.org/10.3389/fhumd.2024.1270601")</f>
        <v>http://dx.doi.org/10.3389/fhumd.2024.1270601</v>
      </c>
    </row>
    <row r="1306" spans="1:16" ht="15.75" customHeight="1">
      <c r="A1306" s="1" t="s">
        <v>0</v>
      </c>
      <c r="B1306" s="1" t="s">
        <v>1</v>
      </c>
      <c r="C1306" s="1" t="s">
        <v>2</v>
      </c>
      <c r="D1306" s="1" t="s">
        <v>3</v>
      </c>
      <c r="E1306" s="1" t="s">
        <v>4</v>
      </c>
      <c r="F1306" s="1" t="s">
        <v>5</v>
      </c>
      <c r="G1306" s="1">
        <v>71</v>
      </c>
      <c r="H1306" s="1">
        <v>0</v>
      </c>
      <c r="I1306" s="1">
        <v>2024</v>
      </c>
      <c r="J1306" s="1" t="s">
        <v>6</v>
      </c>
      <c r="K1306" s="1" t="s">
        <v>6</v>
      </c>
      <c r="L1306" s="1" t="s">
        <v>6</v>
      </c>
      <c r="M1306" s="1" t="s">
        <v>6</v>
      </c>
      <c r="N1306" s="1" t="s">
        <v>6</v>
      </c>
      <c r="O1306" s="1" t="s">
        <v>7</v>
      </c>
      <c r="P1306" s="3" t="str">
        <f>HYPERLINK("http://dx.doi.org/10.1007/s11013-024-09858-4","http://dx.doi.org/10.1007/s11013-024-09858-4")</f>
        <v>http://dx.doi.org/10.1007/s11013-024-09858-4</v>
      </c>
    </row>
    <row r="1307" spans="1:16" ht="15.75" customHeight="1">
      <c r="A1307" s="1" t="s">
        <v>10</v>
      </c>
      <c r="B1307" s="1" t="s">
        <v>3022</v>
      </c>
      <c r="C1307" s="1" t="s">
        <v>3023</v>
      </c>
      <c r="D1307" s="1" t="s">
        <v>2317</v>
      </c>
      <c r="E1307" s="1" t="s">
        <v>3024</v>
      </c>
      <c r="F1307" s="1" t="s">
        <v>3025</v>
      </c>
      <c r="H1307" s="1">
        <v>0</v>
      </c>
      <c r="I1307" s="1">
        <v>2024</v>
      </c>
      <c r="O1307" s="1" t="s">
        <v>3026</v>
      </c>
    </row>
    <row r="1308" spans="1:16" ht="15.75" customHeight="1">
      <c r="A1308" s="1" t="s">
        <v>0</v>
      </c>
      <c r="B1308" s="1" t="s">
        <v>4445</v>
      </c>
      <c r="C1308" s="1" t="s">
        <v>4446</v>
      </c>
      <c r="D1308" s="1" t="s">
        <v>4447</v>
      </c>
      <c r="E1308" s="1" t="s">
        <v>4448</v>
      </c>
      <c r="F1308" s="1" t="s">
        <v>4449</v>
      </c>
      <c r="G1308" s="1">
        <v>38</v>
      </c>
      <c r="H1308" s="1">
        <v>0</v>
      </c>
      <c r="I1308" s="1">
        <v>2024</v>
      </c>
      <c r="J1308" s="1">
        <v>10</v>
      </c>
      <c r="K1308" s="1">
        <v>2</v>
      </c>
      <c r="L1308" s="1">
        <v>236</v>
      </c>
      <c r="M1308" s="1">
        <v>254</v>
      </c>
      <c r="N1308" s="1" t="s">
        <v>6</v>
      </c>
      <c r="O1308" s="1" t="s">
        <v>4450</v>
      </c>
      <c r="P1308" s="3" t="str">
        <f>HYPERLINK("http://dx.doi.org/10.1075/ttmc.00135.mor","http://dx.doi.org/10.1075/ttmc.00135.mor")</f>
        <v>http://dx.doi.org/10.1075/ttmc.00135.mor</v>
      </c>
    </row>
    <row r="1309" spans="1:16" ht="15.75" customHeight="1">
      <c r="A1309" s="1" t="s">
        <v>0</v>
      </c>
      <c r="B1309" s="1" t="s">
        <v>1921</v>
      </c>
      <c r="C1309" s="1" t="s">
        <v>1922</v>
      </c>
      <c r="D1309" s="1" t="s">
        <v>808</v>
      </c>
      <c r="E1309" s="1" t="s">
        <v>1923</v>
      </c>
      <c r="F1309" s="1" t="s">
        <v>1924</v>
      </c>
      <c r="G1309" s="1">
        <v>51</v>
      </c>
      <c r="H1309" s="1">
        <v>0</v>
      </c>
      <c r="I1309" s="1">
        <v>2024</v>
      </c>
      <c r="J1309" s="1">
        <v>19</v>
      </c>
      <c r="K1309" s="1">
        <v>2</v>
      </c>
      <c r="L1309" s="1">
        <v>158</v>
      </c>
      <c r="M1309" s="1">
        <v>177</v>
      </c>
      <c r="N1309" s="1" t="s">
        <v>6</v>
      </c>
      <c r="O1309" s="1" t="s">
        <v>1925</v>
      </c>
      <c r="P1309" s="3" t="str">
        <f>HYPERLINK("http://dx.doi.org/10.1080/17442222.2023.2222060","http://dx.doi.org/10.1080/17442222.2023.2222060")</f>
        <v>http://dx.doi.org/10.1080/17442222.2023.2222060</v>
      </c>
    </row>
    <row r="1310" spans="1:16" ht="15.75" customHeight="1">
      <c r="A1310" s="1" t="s">
        <v>10</v>
      </c>
      <c r="B1310" s="1" t="s">
        <v>3080</v>
      </c>
      <c r="C1310" s="1" t="s">
        <v>3081</v>
      </c>
      <c r="D1310" s="1" t="s">
        <v>473</v>
      </c>
      <c r="E1310" s="1" t="s">
        <v>3082</v>
      </c>
      <c r="F1310" s="1" t="s">
        <v>3083</v>
      </c>
      <c r="H1310" s="1">
        <v>0</v>
      </c>
      <c r="I1310" s="1">
        <v>2024</v>
      </c>
      <c r="J1310" s="1">
        <v>50</v>
      </c>
      <c r="K1310" s="1">
        <v>149</v>
      </c>
      <c r="O1310" s="1" t="s">
        <v>3084</v>
      </c>
    </row>
    <row r="1311" spans="1:16" ht="15.75" customHeight="1">
      <c r="A1311" s="1" t="s">
        <v>0</v>
      </c>
      <c r="B1311" s="1" t="s">
        <v>2589</v>
      </c>
      <c r="C1311" s="1" t="s">
        <v>2590</v>
      </c>
      <c r="D1311" s="1" t="s">
        <v>264</v>
      </c>
      <c r="E1311" s="1" t="s">
        <v>2591</v>
      </c>
      <c r="F1311" s="1" t="s">
        <v>2592</v>
      </c>
      <c r="G1311" s="1">
        <v>63</v>
      </c>
      <c r="H1311" s="1">
        <v>0</v>
      </c>
      <c r="I1311" s="1">
        <v>2024</v>
      </c>
      <c r="J1311" s="1" t="s">
        <v>6</v>
      </c>
      <c r="K1311" s="1" t="s">
        <v>6</v>
      </c>
      <c r="L1311" s="1" t="s">
        <v>6</v>
      </c>
      <c r="M1311" s="1" t="s">
        <v>6</v>
      </c>
      <c r="N1311" s="1" t="s">
        <v>6</v>
      </c>
      <c r="O1311" s="1" t="s">
        <v>2593</v>
      </c>
      <c r="P1311" s="3" t="str">
        <f>HYPERLINK("http://dx.doi.org/10.1080/1369183X.2024.2305270","http://dx.doi.org/10.1080/1369183X.2024.2305270")</f>
        <v>http://dx.doi.org/10.1080/1369183X.2024.2305270</v>
      </c>
    </row>
    <row r="1312" spans="1:16" ht="15.75" customHeight="1">
      <c r="A1312" s="1" t="s">
        <v>0</v>
      </c>
      <c r="B1312" s="1" t="s">
        <v>2120</v>
      </c>
      <c r="C1312" s="1" t="s">
        <v>2121</v>
      </c>
      <c r="D1312" s="1" t="s">
        <v>2122</v>
      </c>
      <c r="E1312" s="1" t="s">
        <v>2123</v>
      </c>
      <c r="F1312" s="1" t="s">
        <v>2124</v>
      </c>
      <c r="G1312" s="1">
        <v>70</v>
      </c>
      <c r="H1312" s="1">
        <v>0</v>
      </c>
      <c r="I1312" s="1">
        <v>2024</v>
      </c>
      <c r="J1312" s="1">
        <v>21</v>
      </c>
      <c r="K1312" s="1">
        <v>4</v>
      </c>
      <c r="L1312" s="1">
        <v>590</v>
      </c>
      <c r="M1312" s="1">
        <v>611</v>
      </c>
      <c r="N1312" s="1" t="s">
        <v>6</v>
      </c>
      <c r="O1312" s="1" t="s">
        <v>2125</v>
      </c>
      <c r="P1312" s="3" t="str">
        <f>HYPERLINK("http://dx.doi.org/10.1080/14747731.2023.2236886","http://dx.doi.org/10.1080/14747731.2023.2236886")</f>
        <v>http://dx.doi.org/10.1080/14747731.2023.2236886</v>
      </c>
    </row>
    <row r="1313" spans="1:16" ht="15.75" customHeight="1">
      <c r="A1313" s="1"/>
      <c r="B1313" s="1"/>
      <c r="C1313" s="1"/>
      <c r="D1313" s="1"/>
      <c r="E1313" s="1"/>
      <c r="F1313" s="1"/>
      <c r="H1313" s="1"/>
      <c r="I1313" s="1"/>
      <c r="J1313" s="1"/>
      <c r="O1313" s="1"/>
    </row>
    <row r="1314" spans="1:16" ht="15.75" customHeight="1">
      <c r="A1314" s="1"/>
      <c r="B1314" s="1"/>
      <c r="C1314" s="1"/>
      <c r="D1314" s="1"/>
      <c r="E1314" s="1"/>
      <c r="F1314" s="1"/>
      <c r="H1314" s="1"/>
      <c r="I1314" s="1"/>
      <c r="J1314" s="1"/>
      <c r="K1314" s="1"/>
      <c r="O1314" s="1"/>
    </row>
    <row r="1315" spans="1:16" ht="15.75" customHeight="1">
      <c r="A1315" s="1"/>
      <c r="B1315" s="1"/>
      <c r="C1315" s="1"/>
      <c r="D1315" s="1"/>
      <c r="E1315" s="1"/>
      <c r="F1315" s="1"/>
      <c r="H1315" s="1"/>
      <c r="I1315" s="1"/>
      <c r="K1315" s="1"/>
    </row>
    <row r="1316" spans="1:16" ht="15.75" customHeight="1">
      <c r="A1316" s="1"/>
      <c r="B1316" s="1"/>
      <c r="C1316" s="1"/>
      <c r="D1316" s="1"/>
      <c r="E1316" s="1"/>
      <c r="F1316" s="1"/>
      <c r="H1316" s="1"/>
      <c r="I1316" s="1"/>
      <c r="K1316" s="1"/>
      <c r="O1316" s="1"/>
    </row>
    <row r="1317" spans="1:16" ht="15.75" customHeight="1">
      <c r="A1317" s="1"/>
      <c r="B1317" s="1"/>
      <c r="C1317" s="1"/>
      <c r="D1317" s="1"/>
      <c r="E1317" s="1"/>
      <c r="F1317" s="1"/>
      <c r="H1317" s="1"/>
      <c r="I1317" s="1"/>
      <c r="J1317" s="1"/>
      <c r="K1317" s="1"/>
      <c r="O1317" s="1"/>
    </row>
    <row r="1318" spans="1:16" ht="15.75" customHeight="1">
      <c r="A1318" s="1"/>
      <c r="B1318" s="1"/>
      <c r="C1318" s="1"/>
      <c r="D1318" s="1"/>
      <c r="E1318" s="1"/>
      <c r="F1318" s="1"/>
      <c r="H1318" s="1"/>
      <c r="I1318" s="1"/>
      <c r="J1318" s="1"/>
      <c r="O1318" s="1"/>
    </row>
    <row r="1319" spans="1:16" ht="15.75" customHeight="1">
      <c r="A1319" s="1"/>
      <c r="B1319" s="1"/>
      <c r="C1319" s="1"/>
      <c r="D1319" s="1"/>
      <c r="E1319" s="1"/>
      <c r="F1319" s="1"/>
      <c r="H1319" s="1"/>
      <c r="I1319" s="1"/>
      <c r="J1319" s="1"/>
      <c r="O1319" s="1"/>
    </row>
    <row r="1320" spans="1:16" ht="15.75" customHeight="1">
      <c r="A1320" s="1"/>
      <c r="B1320" s="1"/>
      <c r="C1320" s="1"/>
      <c r="D1320" s="1"/>
      <c r="E1320" s="1"/>
      <c r="F1320" s="1"/>
      <c r="H1320" s="1"/>
      <c r="I1320" s="1"/>
      <c r="J1320" s="1"/>
      <c r="O1320" s="1"/>
    </row>
    <row r="1321" spans="1:16" ht="15.75" customHeight="1">
      <c r="A1321" s="1"/>
      <c r="B1321" s="1"/>
      <c r="C1321" s="1"/>
      <c r="D1321" s="1"/>
      <c r="F1321" s="1"/>
      <c r="H1321" s="1"/>
      <c r="I1321" s="1"/>
      <c r="J1321" s="1"/>
      <c r="K1321" s="1"/>
      <c r="O1321" s="1"/>
    </row>
    <row r="1322" spans="1:16" ht="15.75" customHeight="1">
      <c r="A1322" s="1"/>
      <c r="B1322" s="1"/>
      <c r="C1322" s="1"/>
      <c r="D1322" s="1"/>
      <c r="E1322" s="1"/>
      <c r="F1322" s="1"/>
      <c r="G1322" s="1"/>
      <c r="H1322" s="1"/>
      <c r="I1322" s="1"/>
      <c r="J1322" s="1"/>
      <c r="K1322" s="1"/>
      <c r="L1322" s="1"/>
      <c r="M1322" s="1"/>
      <c r="N1322" s="1"/>
      <c r="O1322" s="1"/>
      <c r="P1322" s="5"/>
    </row>
    <row r="1323" spans="1:16" ht="15.75" customHeight="1">
      <c r="A1323" s="1"/>
      <c r="B1323" s="1"/>
      <c r="C1323" s="1"/>
      <c r="D1323" s="1"/>
      <c r="E1323" s="1"/>
      <c r="F1323" s="1"/>
      <c r="G1323" s="1"/>
      <c r="H1323" s="1"/>
      <c r="I1323" s="1"/>
      <c r="J1323" s="1"/>
      <c r="K1323" s="1"/>
      <c r="L1323" s="1"/>
      <c r="M1323" s="1"/>
      <c r="N1323" s="1"/>
      <c r="O1323" s="1"/>
      <c r="P1323" s="5"/>
    </row>
    <row r="1324" spans="1:16" ht="15.75" customHeight="1">
      <c r="A1324" s="1"/>
      <c r="B1324" s="1"/>
      <c r="C1324" s="1"/>
      <c r="D1324" s="1"/>
      <c r="E1324" s="1"/>
      <c r="F1324" s="1"/>
      <c r="H1324" s="1"/>
      <c r="I1324" s="1"/>
      <c r="J1324" s="1"/>
      <c r="O1324" s="1"/>
    </row>
    <row r="1325" spans="1:16" ht="15.75" customHeight="1">
      <c r="A1325" s="1"/>
      <c r="B1325" s="1"/>
      <c r="C1325" s="1"/>
      <c r="D1325" s="1"/>
      <c r="E1325" s="1"/>
      <c r="F1325" s="1"/>
      <c r="H1325" s="1"/>
      <c r="I1325" s="1"/>
      <c r="J1325" s="1"/>
      <c r="K1325" s="1"/>
      <c r="O1325" s="1"/>
    </row>
    <row r="1326" spans="1:16" ht="15.75" customHeight="1">
      <c r="A1326" s="1"/>
      <c r="B1326" s="1"/>
      <c r="C1326" s="1"/>
      <c r="D1326" s="1"/>
      <c r="E1326" s="1"/>
      <c r="F1326" s="1"/>
      <c r="H1326" s="1"/>
      <c r="I1326" s="1"/>
      <c r="J1326" s="1"/>
      <c r="K1326" s="1"/>
      <c r="O1326" s="1"/>
    </row>
    <row r="1327" spans="1:16" ht="15.75" customHeight="1">
      <c r="A1327" s="1"/>
      <c r="B1327" s="1"/>
      <c r="C1327" s="1"/>
      <c r="D1327" s="1"/>
      <c r="E1327" s="1"/>
      <c r="F1327" s="1"/>
      <c r="G1327" s="1"/>
      <c r="H1327" s="1"/>
      <c r="I1327" s="1"/>
      <c r="J1327" s="1"/>
      <c r="K1327" s="1"/>
      <c r="L1327" s="1"/>
      <c r="M1327" s="1"/>
      <c r="N1327" s="1"/>
      <c r="O1327" s="1"/>
      <c r="P1327" s="5"/>
    </row>
    <row r="1328" spans="1:16" ht="15.75" customHeight="1">
      <c r="A1328" s="1"/>
      <c r="B1328" s="1"/>
      <c r="C1328" s="1"/>
      <c r="D1328" s="1"/>
      <c r="E1328" s="1"/>
      <c r="F1328" s="1"/>
      <c r="G1328" s="1"/>
      <c r="H1328" s="1"/>
      <c r="I1328" s="1"/>
      <c r="J1328" s="1"/>
      <c r="K1328" s="1"/>
      <c r="L1328" s="1"/>
      <c r="M1328" s="1"/>
      <c r="N1328" s="1"/>
      <c r="O1328" s="1"/>
      <c r="P1328" s="5"/>
    </row>
    <row r="1329" spans="1:16" ht="15.75" customHeight="1">
      <c r="A1329" s="1"/>
      <c r="B1329" s="1"/>
      <c r="C1329" s="1"/>
      <c r="D1329" s="1"/>
      <c r="E1329" s="1"/>
      <c r="F1329" s="1"/>
      <c r="H1329" s="1"/>
      <c r="I1329" s="1"/>
      <c r="J1329" s="1"/>
      <c r="K1329" s="1"/>
      <c r="O1329" s="1"/>
    </row>
    <row r="1330" spans="1:16" ht="15.75" customHeight="1">
      <c r="A1330" s="1"/>
      <c r="B1330" s="1"/>
      <c r="C1330" s="1"/>
      <c r="D1330" s="1"/>
      <c r="E1330" s="1"/>
      <c r="F1330" s="1"/>
      <c r="H1330" s="1"/>
      <c r="I1330" s="1"/>
      <c r="K1330" s="1"/>
      <c r="O1330" s="1"/>
    </row>
    <row r="1331" spans="1:16" ht="15.75" customHeight="1">
      <c r="A1331" s="1"/>
      <c r="B1331" s="1"/>
      <c r="C1331" s="1"/>
      <c r="D1331" s="1"/>
      <c r="E1331" s="1"/>
      <c r="F1331" s="1"/>
      <c r="H1331" s="1"/>
      <c r="I1331" s="1"/>
      <c r="J1331" s="1"/>
      <c r="O1331" s="1"/>
    </row>
    <row r="1332" spans="1:16" ht="15.75" customHeight="1">
      <c r="A1332" s="1"/>
      <c r="B1332" s="1"/>
      <c r="C1332" s="1"/>
      <c r="D1332" s="1"/>
      <c r="E1332" s="1"/>
      <c r="F1332" s="1"/>
      <c r="H1332" s="1"/>
      <c r="I1332" s="1"/>
      <c r="J1332" s="1"/>
      <c r="K1332" s="1"/>
      <c r="O1332" s="1"/>
    </row>
    <row r="1333" spans="1:16" ht="15.75" customHeight="1">
      <c r="A1333" s="1"/>
      <c r="B1333" s="1"/>
      <c r="C1333" s="1"/>
      <c r="D1333" s="1"/>
      <c r="E1333" s="1"/>
      <c r="F1333" s="1"/>
      <c r="H1333" s="1"/>
      <c r="I1333" s="1"/>
      <c r="J1333" s="1"/>
      <c r="K1333" s="1"/>
      <c r="O1333" s="1"/>
    </row>
    <row r="1334" spans="1:16" ht="15.75" customHeight="1">
      <c r="A1334" s="1"/>
      <c r="B1334" s="1"/>
      <c r="C1334" s="1"/>
      <c r="D1334" s="1"/>
      <c r="E1334" s="1"/>
      <c r="F1334" s="1"/>
      <c r="G1334" s="1"/>
      <c r="H1334" s="1"/>
      <c r="I1334" s="1"/>
      <c r="J1334" s="1"/>
      <c r="K1334" s="1"/>
      <c r="L1334" s="1"/>
      <c r="M1334" s="1"/>
      <c r="N1334" s="1"/>
      <c r="O1334" s="1"/>
      <c r="P1334" s="1"/>
    </row>
    <row r="1335" spans="1:16" ht="15.75" customHeight="1">
      <c r="A1335" s="1"/>
      <c r="B1335" s="1"/>
      <c r="C1335" s="1"/>
      <c r="D1335" s="1"/>
      <c r="E1335" s="1"/>
      <c r="F1335" s="1"/>
      <c r="G1335" s="1"/>
      <c r="H1335" s="1"/>
      <c r="I1335" s="1"/>
      <c r="J1335" s="1"/>
      <c r="K1335" s="1"/>
      <c r="L1335" s="1"/>
      <c r="M1335" s="1"/>
      <c r="N1335" s="1"/>
      <c r="O1335" s="1"/>
      <c r="P1335" s="1"/>
    </row>
    <row r="1336" spans="1:16" ht="15.75" customHeight="1">
      <c r="A1336" s="1"/>
      <c r="B1336" s="1"/>
      <c r="C1336" s="1"/>
      <c r="D1336" s="1"/>
      <c r="E1336" s="1"/>
      <c r="F1336" s="1"/>
      <c r="G1336" s="1"/>
      <c r="H1336" s="1"/>
      <c r="I1336" s="1"/>
      <c r="J1336" s="1"/>
      <c r="K1336" s="1"/>
      <c r="L1336" s="1"/>
      <c r="M1336" s="1"/>
      <c r="N1336" s="1"/>
      <c r="O1336" s="1"/>
      <c r="P1336" s="5"/>
    </row>
    <row r="1337" spans="1:16" ht="15.75" customHeight="1">
      <c r="A1337" s="1"/>
      <c r="B1337" s="1"/>
      <c r="C1337" s="1"/>
      <c r="D1337" s="1"/>
      <c r="E1337" s="1"/>
      <c r="F1337" s="1"/>
      <c r="H1337" s="1"/>
      <c r="I1337" s="1"/>
      <c r="J1337" s="1"/>
      <c r="K1337" s="1"/>
      <c r="O1337" s="1"/>
    </row>
    <row r="1338" spans="1:16" ht="15.75" customHeight="1">
      <c r="A1338" s="1"/>
      <c r="B1338" s="1"/>
      <c r="C1338" s="1"/>
      <c r="D1338" s="1"/>
      <c r="E1338" s="1"/>
      <c r="F1338" s="1"/>
      <c r="H1338" s="1"/>
      <c r="I1338" s="1"/>
      <c r="J1338" s="1"/>
      <c r="K1338" s="1"/>
      <c r="O1338" s="1"/>
    </row>
    <row r="1339" spans="1:16" ht="15.75" customHeight="1">
      <c r="A1339" s="1"/>
      <c r="B1339" s="1"/>
      <c r="C1339" s="1"/>
      <c r="D1339" s="1"/>
      <c r="E1339" s="1"/>
      <c r="F1339" s="1"/>
      <c r="H1339" s="1"/>
      <c r="I1339" s="1"/>
      <c r="J1339" s="1"/>
      <c r="K1339" s="1"/>
      <c r="O1339" s="1"/>
    </row>
    <row r="1340" spans="1:16" ht="15.75" customHeight="1">
      <c r="A1340" s="1"/>
      <c r="B1340" s="1"/>
      <c r="C1340" s="1"/>
      <c r="D1340" s="1"/>
      <c r="E1340" s="1"/>
      <c r="F1340" s="1"/>
      <c r="H1340" s="1"/>
      <c r="I1340" s="1"/>
      <c r="K1340" s="1"/>
    </row>
    <row r="1341" spans="1:16" ht="15.75" customHeight="1">
      <c r="A1341" s="1"/>
      <c r="B1341" s="1"/>
      <c r="C1341" s="1"/>
      <c r="D1341" s="1"/>
      <c r="E1341" s="1"/>
      <c r="F1341" s="1"/>
      <c r="G1341" s="1"/>
      <c r="H1341" s="1"/>
      <c r="I1341" s="1"/>
      <c r="K1341" s="1"/>
    </row>
    <row r="1342" spans="1:16" ht="15.75" customHeight="1">
      <c r="A1342" s="1"/>
      <c r="B1342" s="1"/>
      <c r="C1342" s="1"/>
      <c r="D1342" s="1"/>
      <c r="E1342" s="1"/>
      <c r="F1342" s="1"/>
      <c r="G1342" s="1"/>
      <c r="H1342" s="1"/>
      <c r="I1342" s="1"/>
      <c r="J1342" s="1"/>
      <c r="K1342" s="1"/>
      <c r="L1342" s="1"/>
      <c r="M1342" s="1"/>
      <c r="N1342" s="1"/>
      <c r="O1342" s="1"/>
      <c r="P1342" s="1"/>
    </row>
    <row r="1343" spans="1:16" ht="15.75" customHeight="1">
      <c r="A1343" s="1"/>
      <c r="B1343" s="1"/>
      <c r="C1343" s="1"/>
      <c r="D1343" s="1"/>
      <c r="E1343" s="1"/>
      <c r="F1343" s="1"/>
      <c r="G1343" s="1"/>
      <c r="H1343" s="1"/>
      <c r="I1343" s="1"/>
      <c r="J1343" s="1"/>
      <c r="K1343" s="1"/>
      <c r="L1343" s="1"/>
      <c r="M1343" s="1"/>
      <c r="N1343" s="1"/>
      <c r="O1343" s="1"/>
      <c r="P1343" s="5"/>
    </row>
    <row r="1344" spans="1:16" ht="15.75" customHeight="1">
      <c r="A1344" s="1"/>
      <c r="B1344" s="1"/>
      <c r="C1344" s="1"/>
      <c r="D1344" s="1"/>
      <c r="E1344" s="1"/>
      <c r="F1344" s="1"/>
      <c r="H1344" s="1"/>
      <c r="I1344" s="1"/>
      <c r="J1344" s="1"/>
      <c r="K1344" s="1"/>
      <c r="O1344" s="1"/>
    </row>
    <row r="1345" spans="1:16" ht="15.75" customHeight="1">
      <c r="A1345" s="1"/>
      <c r="B1345" s="1"/>
      <c r="C1345" s="1"/>
      <c r="D1345" s="1"/>
      <c r="E1345" s="1"/>
      <c r="F1345" s="1"/>
      <c r="H1345" s="1"/>
      <c r="I1345" s="1"/>
      <c r="J1345" s="1"/>
      <c r="K1345" s="1"/>
      <c r="O1345" s="1"/>
    </row>
    <row r="1346" spans="1:16" ht="15.75" customHeight="1">
      <c r="A1346" s="1"/>
      <c r="B1346" s="1"/>
      <c r="C1346" s="1"/>
      <c r="D1346" s="1"/>
      <c r="E1346" s="1"/>
      <c r="F1346" s="1"/>
      <c r="G1346" s="1"/>
      <c r="H1346" s="1"/>
      <c r="I1346" s="1"/>
      <c r="J1346" s="1"/>
      <c r="K1346" s="1"/>
      <c r="L1346" s="1"/>
      <c r="M1346" s="1"/>
      <c r="N1346" s="1"/>
      <c r="O1346" s="1"/>
      <c r="P1346" s="5"/>
    </row>
    <row r="1347" spans="1:16" ht="15.75" customHeight="1">
      <c r="A1347" s="1"/>
      <c r="B1347" s="1"/>
      <c r="C1347" s="1"/>
      <c r="D1347" s="1"/>
      <c r="E1347" s="1"/>
      <c r="F1347" s="1"/>
      <c r="H1347" s="1"/>
      <c r="I1347" s="1"/>
      <c r="J1347" s="1"/>
      <c r="K1347" s="1"/>
    </row>
    <row r="1348" spans="1:16" ht="15.75" customHeight="1">
      <c r="A1348" s="1"/>
      <c r="B1348" s="1"/>
      <c r="C1348" s="1"/>
      <c r="D1348" s="1"/>
      <c r="E1348" s="1"/>
      <c r="F1348" s="1"/>
      <c r="G1348" s="1"/>
      <c r="H1348" s="1"/>
      <c r="I1348" s="1"/>
      <c r="J1348" s="1"/>
      <c r="K1348" s="1"/>
      <c r="L1348" s="1"/>
      <c r="M1348" s="1"/>
      <c r="N1348" s="1"/>
      <c r="O1348" s="1"/>
      <c r="P1348" s="1"/>
    </row>
    <row r="1349" spans="1:16" ht="15.75" customHeight="1">
      <c r="A1349" s="1"/>
      <c r="B1349" s="1"/>
      <c r="C1349" s="1"/>
      <c r="D1349" s="1"/>
      <c r="E1349" s="1"/>
      <c r="F1349" s="1"/>
      <c r="H1349" s="1"/>
      <c r="I1349" s="1"/>
      <c r="J1349" s="1"/>
      <c r="K1349" s="1"/>
      <c r="O1349" s="1"/>
    </row>
    <row r="1350" spans="1:16" ht="15.75" customHeight="1">
      <c r="A1350" s="1"/>
      <c r="B1350" s="1"/>
      <c r="C1350" s="1"/>
      <c r="D1350" s="1"/>
      <c r="E1350" s="1"/>
      <c r="F1350" s="1"/>
      <c r="G1350" s="1"/>
      <c r="H1350" s="1"/>
      <c r="I1350" s="1"/>
      <c r="J1350" s="1"/>
      <c r="K1350" s="1"/>
      <c r="L1350" s="1"/>
      <c r="M1350" s="1"/>
      <c r="N1350" s="1"/>
      <c r="O1350" s="1"/>
      <c r="P1350" s="5"/>
    </row>
    <row r="1351" spans="1:16" ht="15.75" customHeight="1">
      <c r="A1351" s="1"/>
      <c r="B1351" s="1"/>
      <c r="C1351" s="1"/>
      <c r="D1351" s="1"/>
      <c r="E1351" s="1"/>
      <c r="F1351" s="1"/>
      <c r="G1351" s="1"/>
      <c r="H1351" s="1"/>
      <c r="I1351" s="1"/>
      <c r="J1351" s="1"/>
      <c r="K1351" s="1"/>
      <c r="L1351" s="1"/>
      <c r="M1351" s="1"/>
      <c r="N1351" s="1"/>
      <c r="O1351" s="1"/>
      <c r="P1351" s="5"/>
    </row>
    <row r="1352" spans="1:16" ht="15.75" customHeight="1">
      <c r="A1352" s="1"/>
      <c r="B1352" s="1"/>
      <c r="C1352" s="1"/>
      <c r="D1352" s="1"/>
      <c r="E1352" s="1"/>
      <c r="F1352" s="1"/>
      <c r="G1352" s="1"/>
      <c r="H1352" s="1"/>
      <c r="I1352" s="1"/>
      <c r="J1352" s="1"/>
      <c r="K1352" s="1"/>
      <c r="L1352" s="1"/>
      <c r="M1352" s="1"/>
      <c r="N1352" s="1"/>
      <c r="O1352" s="1"/>
      <c r="P1352" s="5"/>
    </row>
    <row r="1353" spans="1:16" ht="15.75" customHeight="1">
      <c r="A1353" s="1"/>
      <c r="B1353" s="1"/>
      <c r="C1353" s="1"/>
      <c r="D1353" s="1"/>
      <c r="E1353" s="1"/>
      <c r="F1353" s="1"/>
      <c r="G1353" s="1"/>
      <c r="H1353" s="1"/>
      <c r="I1353" s="1"/>
      <c r="J1353" s="1"/>
      <c r="K1353" s="1"/>
      <c r="L1353" s="1"/>
      <c r="M1353" s="1"/>
      <c r="N1353" s="1"/>
      <c r="O1353" s="1"/>
      <c r="P1353" s="5"/>
    </row>
    <row r="1354" spans="1:16" ht="15.75" customHeight="1">
      <c r="A1354" s="1"/>
      <c r="B1354" s="1"/>
      <c r="C1354" s="1"/>
      <c r="D1354" s="1"/>
      <c r="E1354" s="1"/>
      <c r="F1354" s="1"/>
      <c r="G1354" s="1"/>
      <c r="H1354" s="1"/>
      <c r="I1354" s="1"/>
      <c r="J1354" s="1"/>
      <c r="K1354" s="1"/>
      <c r="L1354" s="1"/>
      <c r="M1354" s="1"/>
      <c r="N1354" s="1"/>
      <c r="O1354" s="1"/>
      <c r="P1354" s="5"/>
    </row>
    <row r="1355" spans="1:16" ht="15.75" customHeight="1">
      <c r="A1355" s="1"/>
      <c r="B1355" s="1"/>
      <c r="C1355" s="1"/>
      <c r="D1355" s="1"/>
      <c r="F1355" s="1"/>
      <c r="H1355" s="1"/>
      <c r="I1355" s="1"/>
      <c r="J1355" s="1"/>
      <c r="K1355" s="1"/>
      <c r="O1355" s="1"/>
    </row>
    <row r="1356" spans="1:16" ht="15.75" customHeight="1">
      <c r="A1356" s="1"/>
      <c r="B1356" s="1"/>
      <c r="C1356" s="1"/>
      <c r="D1356" s="1"/>
      <c r="E1356" s="1"/>
      <c r="F1356" s="1"/>
      <c r="H1356" s="1"/>
      <c r="I1356" s="1"/>
      <c r="J1356" s="1"/>
      <c r="K1356" s="1"/>
      <c r="O1356" s="1"/>
    </row>
    <row r="1357" spans="1:16" ht="15.75" customHeight="1">
      <c r="A1357" s="1"/>
      <c r="B1357" s="1"/>
      <c r="C1357" s="1"/>
      <c r="D1357" s="1"/>
      <c r="E1357" s="1"/>
      <c r="F1357" s="1"/>
      <c r="H1357" s="1"/>
      <c r="I1357" s="1"/>
      <c r="J1357" s="1"/>
      <c r="K1357" s="1"/>
      <c r="O1357" s="1"/>
    </row>
    <row r="1358" spans="1:16" ht="15.75" customHeight="1">
      <c r="A1358" s="1"/>
      <c r="B1358" s="1"/>
      <c r="C1358" s="1"/>
      <c r="D1358" s="1"/>
      <c r="E1358" s="1"/>
      <c r="F1358" s="1"/>
      <c r="H1358" s="1"/>
      <c r="I1358" s="1"/>
      <c r="J1358" s="1"/>
      <c r="K1358" s="1"/>
      <c r="O1358" s="1"/>
    </row>
    <row r="1359" spans="1:16" ht="15.75" customHeight="1">
      <c r="A1359" s="1"/>
      <c r="B1359" s="1"/>
      <c r="C1359" s="1"/>
      <c r="D1359" s="1"/>
      <c r="E1359" s="1"/>
      <c r="F1359" s="1"/>
      <c r="H1359" s="1"/>
      <c r="I1359" s="1"/>
      <c r="J1359" s="1"/>
      <c r="K1359" s="1"/>
      <c r="O1359" s="1"/>
    </row>
    <row r="1360" spans="1:16" ht="15.75" customHeight="1">
      <c r="A1360" s="1"/>
      <c r="B1360" s="1"/>
      <c r="C1360" s="1"/>
      <c r="D1360" s="1"/>
      <c r="E1360" s="1"/>
      <c r="F1360" s="1"/>
      <c r="H1360" s="1"/>
      <c r="I1360" s="1"/>
      <c r="J1360" s="1"/>
      <c r="K1360" s="1"/>
      <c r="O1360" s="1"/>
    </row>
    <row r="1361" spans="1:15" ht="15.75" customHeight="1">
      <c r="A1361" s="1"/>
      <c r="B1361" s="1"/>
      <c r="C1361" s="1"/>
      <c r="D1361" s="1"/>
      <c r="E1361" s="1"/>
      <c r="F1361" s="1"/>
      <c r="H1361" s="1"/>
      <c r="I1361" s="1"/>
      <c r="J1361" s="1"/>
      <c r="K1361" s="1"/>
      <c r="O1361" s="1"/>
    </row>
    <row r="1362" spans="1:15" ht="15.75" customHeight="1">
      <c r="A1362" s="1"/>
      <c r="B1362" s="1"/>
      <c r="C1362" s="1"/>
      <c r="D1362" s="1"/>
      <c r="E1362" s="1"/>
      <c r="F1362" s="1"/>
      <c r="H1362" s="1"/>
      <c r="I1362" s="1"/>
      <c r="J1362" s="1"/>
      <c r="K1362" s="1"/>
      <c r="O1362" s="1"/>
    </row>
    <row r="1363" spans="1:15" ht="15.75" customHeight="1">
      <c r="A1363" s="1"/>
      <c r="B1363" s="1"/>
      <c r="C1363" s="1"/>
      <c r="D1363" s="1"/>
      <c r="E1363" s="1"/>
      <c r="F1363" s="1"/>
      <c r="H1363" s="1"/>
      <c r="I1363" s="1"/>
      <c r="J1363" s="1"/>
      <c r="K1363" s="1"/>
      <c r="O1363" s="1"/>
    </row>
    <row r="1364" spans="1:15" ht="15.75" customHeight="1">
      <c r="A1364" s="1"/>
      <c r="B1364" s="1"/>
      <c r="C1364" s="1"/>
      <c r="D1364" s="1"/>
      <c r="E1364" s="1"/>
      <c r="F1364" s="1"/>
      <c r="H1364" s="1"/>
      <c r="I1364" s="1"/>
      <c r="J1364" s="1"/>
      <c r="K1364" s="1"/>
      <c r="O1364" s="1"/>
    </row>
    <row r="1365" spans="1:15" ht="15.75" customHeight="1">
      <c r="A1365" s="1"/>
      <c r="B1365" s="1"/>
      <c r="C1365" s="1"/>
      <c r="D1365" s="1"/>
      <c r="E1365" s="1"/>
      <c r="F1365" s="1"/>
      <c r="H1365" s="1"/>
      <c r="I1365" s="1"/>
      <c r="J1365" s="1"/>
      <c r="K1365" s="1"/>
      <c r="O1365" s="1"/>
    </row>
    <row r="1366" spans="1:15" ht="15.75" customHeight="1">
      <c r="A1366" s="1"/>
      <c r="B1366" s="1"/>
      <c r="C1366" s="1"/>
      <c r="D1366" s="1"/>
      <c r="E1366" s="1"/>
      <c r="F1366" s="1"/>
      <c r="H1366" s="1"/>
      <c r="I1366" s="1"/>
      <c r="J1366" s="1"/>
      <c r="K1366" s="1"/>
      <c r="O1366" s="1"/>
    </row>
    <row r="1367" spans="1:15" ht="15.75" customHeight="1">
      <c r="A1367" s="1"/>
      <c r="B1367" s="1"/>
      <c r="C1367" s="1"/>
      <c r="D1367" s="1"/>
      <c r="E1367" s="1"/>
      <c r="F1367" s="1"/>
      <c r="H1367" s="1"/>
      <c r="I1367" s="1"/>
      <c r="J1367" s="1"/>
      <c r="K1367" s="1"/>
      <c r="O1367" s="1"/>
    </row>
    <row r="1368" spans="1:15" ht="15.75" customHeight="1">
      <c r="A1368" s="1"/>
      <c r="B1368" s="1"/>
      <c r="C1368" s="1"/>
      <c r="D1368" s="1"/>
      <c r="E1368" s="1"/>
      <c r="F1368" s="1"/>
      <c r="H1368" s="1"/>
      <c r="I1368" s="1"/>
      <c r="J1368" s="1"/>
      <c r="K1368" s="1"/>
      <c r="O1368" s="1"/>
    </row>
    <row r="1369" spans="1:15" ht="15.75" customHeight="1">
      <c r="A1369" s="1"/>
      <c r="B1369" s="1"/>
      <c r="C1369" s="1"/>
      <c r="D1369" s="1"/>
      <c r="E1369" s="1"/>
      <c r="F1369" s="1"/>
      <c r="H1369" s="1"/>
      <c r="I1369" s="1"/>
      <c r="J1369" s="1"/>
      <c r="K1369" s="1"/>
      <c r="O1369" s="1"/>
    </row>
    <row r="1370" spans="1:15" ht="15.75" customHeight="1">
      <c r="A1370" s="1"/>
      <c r="B1370" s="1"/>
      <c r="C1370" s="1"/>
      <c r="D1370" s="1"/>
      <c r="E1370" s="1"/>
      <c r="F1370" s="1"/>
      <c r="H1370" s="1"/>
      <c r="I1370" s="1"/>
      <c r="J1370" s="1"/>
      <c r="K1370" s="1"/>
      <c r="O1370" s="1"/>
    </row>
    <row r="1371" spans="1:15" ht="15.75" customHeight="1">
      <c r="A1371" s="1"/>
      <c r="B1371" s="1"/>
      <c r="C1371" s="1"/>
      <c r="D1371" s="1"/>
      <c r="E1371" s="1"/>
      <c r="F1371" s="1"/>
      <c r="H1371" s="1"/>
      <c r="I1371" s="1"/>
      <c r="J1371" s="1"/>
      <c r="K1371" s="1"/>
      <c r="O1371" s="1"/>
    </row>
    <row r="1372" spans="1:15" ht="15.75" customHeight="1">
      <c r="A1372" s="1"/>
      <c r="B1372" s="1"/>
      <c r="C1372" s="1"/>
      <c r="D1372" s="1"/>
      <c r="E1372" s="1"/>
      <c r="F1372" s="1"/>
      <c r="H1372" s="1"/>
      <c r="I1372" s="1"/>
      <c r="J1372" s="1"/>
      <c r="K1372" s="1"/>
    </row>
    <row r="1373" spans="1:15" ht="15.75" customHeight="1">
      <c r="A1373" s="1"/>
      <c r="B1373" s="1"/>
      <c r="C1373" s="1"/>
      <c r="D1373" s="1"/>
      <c r="E1373" s="1"/>
      <c r="F1373" s="1"/>
      <c r="H1373" s="1"/>
      <c r="I1373" s="1"/>
      <c r="J1373" s="1"/>
      <c r="K1373" s="1"/>
      <c r="O1373" s="1"/>
    </row>
    <row r="1374" spans="1:15" ht="15.75" customHeight="1">
      <c r="A1374" s="1"/>
      <c r="B1374" s="1"/>
      <c r="C1374" s="1"/>
      <c r="D1374" s="1"/>
      <c r="E1374" s="1"/>
      <c r="F1374" s="1"/>
      <c r="G1374" s="1"/>
      <c r="H1374" s="1"/>
      <c r="I1374" s="1"/>
      <c r="J1374" s="1"/>
      <c r="K1374" s="1"/>
      <c r="O1374" s="1"/>
    </row>
    <row r="1375" spans="1:15" ht="15.75" customHeight="1">
      <c r="A1375" s="1"/>
      <c r="B1375" s="1"/>
      <c r="C1375" s="1"/>
      <c r="D1375" s="1"/>
      <c r="E1375" s="1"/>
      <c r="F1375" s="1"/>
      <c r="G1375" s="1"/>
      <c r="H1375" s="1"/>
      <c r="I1375" s="1"/>
      <c r="J1375" s="1"/>
      <c r="K1375" s="1"/>
      <c r="O1375" s="1"/>
    </row>
    <row r="1376" spans="1:15" ht="15.75" customHeight="1">
      <c r="A1376" s="1"/>
      <c r="B1376" s="1"/>
      <c r="C1376" s="1"/>
      <c r="D1376" s="1"/>
      <c r="E1376" s="1"/>
      <c r="F1376" s="1"/>
      <c r="H1376" s="1"/>
      <c r="I1376" s="1"/>
      <c r="J1376" s="1"/>
      <c r="K1376" s="1"/>
      <c r="O1376" s="1"/>
    </row>
    <row r="1377" spans="1:16" ht="15.75" customHeight="1">
      <c r="A1377" s="1"/>
      <c r="B1377" s="1"/>
      <c r="C1377" s="1"/>
      <c r="D1377" s="1"/>
      <c r="E1377" s="1"/>
      <c r="F1377" s="1"/>
      <c r="G1377" s="1"/>
      <c r="H1377" s="1"/>
      <c r="I1377" s="1"/>
      <c r="J1377" s="1"/>
      <c r="K1377" s="1"/>
      <c r="L1377" s="1"/>
      <c r="M1377" s="1"/>
      <c r="N1377" s="1"/>
      <c r="O1377" s="1"/>
      <c r="P1377" s="5"/>
    </row>
    <row r="1378" spans="1:16" ht="15.75" customHeight="1">
      <c r="A1378" s="1"/>
      <c r="B1378" s="1"/>
      <c r="C1378" s="1"/>
      <c r="D1378" s="1"/>
      <c r="E1378" s="1"/>
      <c r="F1378" s="1"/>
      <c r="H1378" s="1"/>
      <c r="I1378" s="1"/>
      <c r="J1378" s="1"/>
      <c r="K1378" s="1"/>
      <c r="O1378" s="1"/>
    </row>
    <row r="1379" spans="1:16" ht="15.75" customHeight="1">
      <c r="A1379" s="1"/>
      <c r="B1379" s="1"/>
      <c r="C1379" s="1"/>
      <c r="D1379" s="1"/>
      <c r="E1379" s="1"/>
      <c r="F1379" s="1"/>
      <c r="H1379" s="1"/>
      <c r="I1379" s="1"/>
      <c r="J1379" s="1"/>
      <c r="K1379" s="1"/>
      <c r="O1379" s="1"/>
    </row>
    <row r="1380" spans="1:16" ht="15.75" customHeight="1">
      <c r="A1380" s="1"/>
      <c r="B1380" s="1"/>
      <c r="C1380" s="1"/>
      <c r="D1380" s="1"/>
      <c r="E1380" s="1"/>
      <c r="F1380" s="1"/>
      <c r="G1380" s="1"/>
      <c r="H1380" s="1"/>
      <c r="I1380" s="1"/>
      <c r="J1380" s="1"/>
      <c r="K1380" s="1"/>
      <c r="L1380" s="1"/>
      <c r="M1380" s="1"/>
      <c r="N1380" s="1"/>
      <c r="O1380" s="1"/>
      <c r="P1380" s="5"/>
    </row>
    <row r="1381" spans="1:16" ht="15.75" customHeight="1">
      <c r="A1381" s="1"/>
      <c r="B1381" s="1"/>
      <c r="C1381" s="1"/>
      <c r="D1381" s="1"/>
      <c r="E1381" s="1"/>
      <c r="F1381" s="1"/>
      <c r="H1381" s="1"/>
      <c r="I1381" s="1"/>
      <c r="J1381" s="1"/>
      <c r="K1381" s="1"/>
      <c r="O1381" s="1"/>
    </row>
    <row r="1382" spans="1:16" ht="15.75" customHeight="1">
      <c r="A1382" s="1"/>
      <c r="B1382" s="1"/>
      <c r="C1382" s="1"/>
      <c r="D1382" s="1"/>
      <c r="E1382" s="1"/>
      <c r="F1382" s="1"/>
      <c r="G1382" s="1"/>
      <c r="H1382" s="1"/>
      <c r="I1382" s="1"/>
      <c r="J1382" s="1"/>
      <c r="K1382" s="1"/>
      <c r="O1382" s="1"/>
    </row>
    <row r="1383" spans="1:16" ht="15.75" customHeight="1">
      <c r="A1383" s="1"/>
      <c r="B1383" s="1"/>
      <c r="C1383" s="1"/>
      <c r="D1383" s="1"/>
      <c r="E1383" s="1"/>
      <c r="F1383" s="1"/>
      <c r="G1383" s="1"/>
      <c r="H1383" s="1"/>
      <c r="I1383" s="1"/>
      <c r="J1383" s="1"/>
      <c r="O1383" s="1"/>
    </row>
    <row r="1384" spans="1:16" ht="15.75" customHeight="1">
      <c r="A1384" s="1"/>
      <c r="B1384" s="1"/>
      <c r="C1384" s="1"/>
      <c r="D1384" s="1"/>
      <c r="E1384" s="1"/>
      <c r="F1384" s="1"/>
      <c r="H1384" s="1"/>
      <c r="I1384" s="1"/>
      <c r="J1384" s="1"/>
      <c r="O1384" s="1"/>
    </row>
    <row r="1385" spans="1:16" ht="15.75" customHeight="1">
      <c r="A1385" s="1"/>
      <c r="B1385" s="1"/>
      <c r="C1385" s="1"/>
      <c r="D1385" s="1"/>
      <c r="E1385" s="1"/>
      <c r="F1385" s="1"/>
      <c r="H1385" s="1"/>
      <c r="I1385" s="1"/>
      <c r="J1385" s="1"/>
      <c r="K1385" s="1"/>
      <c r="O1385" s="1"/>
    </row>
    <row r="1386" spans="1:16" ht="15.75" customHeight="1">
      <c r="A1386" s="1"/>
      <c r="B1386" s="1"/>
      <c r="C1386" s="1"/>
      <c r="D1386" s="1"/>
      <c r="E1386" s="1"/>
      <c r="F1386" s="1"/>
      <c r="H1386" s="1"/>
      <c r="I1386" s="1"/>
      <c r="J1386" s="1"/>
      <c r="K1386" s="1"/>
      <c r="O1386" s="1"/>
    </row>
    <row r="1387" spans="1:16" ht="15.75" customHeight="1">
      <c r="A1387" s="1"/>
      <c r="B1387" s="1"/>
      <c r="C1387" s="1"/>
      <c r="D1387" s="1"/>
      <c r="E1387" s="1"/>
      <c r="F1387" s="1"/>
      <c r="H1387" s="1"/>
      <c r="I1387" s="1"/>
      <c r="J1387" s="1"/>
      <c r="K1387" s="1"/>
      <c r="O1387" s="1"/>
    </row>
    <row r="1388" spans="1:16" ht="15.75" customHeight="1">
      <c r="A1388" s="1"/>
      <c r="B1388" s="1"/>
      <c r="C1388" s="1"/>
      <c r="D1388" s="1"/>
      <c r="E1388" s="1"/>
      <c r="F1388" s="1"/>
      <c r="G1388" s="1"/>
      <c r="H1388" s="1"/>
      <c r="I1388" s="1"/>
      <c r="J1388" s="1"/>
      <c r="K1388" s="1"/>
      <c r="L1388" s="1"/>
      <c r="M1388" s="1"/>
      <c r="N1388" s="1"/>
      <c r="O1388" s="1"/>
      <c r="P1388" s="5"/>
    </row>
    <row r="1389" spans="1:16" ht="15.75" customHeight="1">
      <c r="A1389" s="1"/>
      <c r="B1389" s="1"/>
      <c r="C1389" s="1"/>
      <c r="D1389" s="1"/>
      <c r="E1389" s="1"/>
      <c r="F1389" s="1"/>
      <c r="H1389" s="1"/>
      <c r="I1389" s="1"/>
      <c r="J1389" s="1"/>
      <c r="K1389" s="1"/>
      <c r="O1389" s="1"/>
    </row>
    <row r="1390" spans="1:16" ht="15.75" customHeight="1">
      <c r="A1390" s="1"/>
      <c r="B1390" s="1"/>
      <c r="C1390" s="1"/>
      <c r="D1390" s="1"/>
      <c r="E1390" s="1"/>
      <c r="F1390" s="1"/>
      <c r="H1390" s="1"/>
      <c r="I1390" s="1"/>
      <c r="J1390" s="1"/>
      <c r="O1390" s="1"/>
    </row>
    <row r="1391" spans="1:16" ht="15.75" customHeight="1">
      <c r="A1391" s="1"/>
      <c r="B1391" s="1"/>
      <c r="C1391" s="1"/>
      <c r="D1391" s="1"/>
      <c r="E1391" s="1"/>
      <c r="F1391" s="1"/>
      <c r="H1391" s="1"/>
      <c r="I1391" s="1"/>
      <c r="J1391" s="1"/>
      <c r="K1391" s="1"/>
      <c r="O1391" s="1"/>
    </row>
    <row r="1392" spans="1:16" ht="15.75" customHeight="1">
      <c r="A1392" s="1"/>
      <c r="B1392" s="1"/>
      <c r="C1392" s="1"/>
      <c r="D1392" s="1"/>
      <c r="E1392" s="1"/>
      <c r="F1392" s="1"/>
      <c r="G1392" s="1"/>
      <c r="H1392" s="1"/>
      <c r="I1392" s="1"/>
      <c r="J1392" s="1"/>
      <c r="K1392" s="1"/>
      <c r="L1392" s="1"/>
      <c r="M1392" s="1"/>
      <c r="N1392" s="1"/>
      <c r="O1392" s="1"/>
      <c r="P1392" s="5"/>
    </row>
    <row r="1393" spans="1:16" ht="15.75" customHeight="1">
      <c r="A1393" s="1"/>
      <c r="B1393" s="1"/>
      <c r="C1393" s="1"/>
      <c r="D1393" s="1"/>
      <c r="E1393" s="1"/>
      <c r="F1393" s="1"/>
      <c r="H1393" s="1"/>
      <c r="I1393" s="1"/>
      <c r="J1393" s="1"/>
      <c r="K1393" s="1"/>
      <c r="O1393" s="1"/>
    </row>
    <row r="1394" spans="1:16" ht="15.75" customHeight="1">
      <c r="A1394" s="1"/>
      <c r="B1394" s="1"/>
      <c r="C1394" s="1"/>
      <c r="D1394" s="1"/>
      <c r="E1394" s="1"/>
      <c r="F1394" s="1"/>
      <c r="G1394" s="1"/>
      <c r="H1394" s="1"/>
      <c r="I1394" s="1"/>
      <c r="J1394" s="1"/>
      <c r="K1394" s="1"/>
      <c r="O1394" s="1"/>
    </row>
    <row r="1395" spans="1:16" ht="15.75" customHeight="1">
      <c r="A1395" s="1"/>
      <c r="B1395" s="1"/>
      <c r="C1395" s="1"/>
      <c r="D1395" s="1"/>
      <c r="E1395" s="1"/>
      <c r="F1395" s="1"/>
      <c r="H1395" s="1"/>
      <c r="I1395" s="1"/>
      <c r="J1395" s="1"/>
      <c r="K1395" s="1"/>
      <c r="O1395" s="1"/>
    </row>
    <row r="1396" spans="1:16" ht="15.75" customHeight="1">
      <c r="A1396" s="1"/>
      <c r="B1396" s="1"/>
      <c r="C1396" s="1"/>
      <c r="D1396" s="1"/>
      <c r="E1396" s="1"/>
      <c r="F1396" s="1"/>
      <c r="G1396" s="1"/>
      <c r="H1396" s="1"/>
      <c r="I1396" s="1"/>
      <c r="J1396" s="1"/>
      <c r="K1396" s="1"/>
      <c r="L1396" s="1"/>
      <c r="M1396" s="1"/>
      <c r="N1396" s="1"/>
      <c r="O1396" s="1"/>
      <c r="P1396" s="5"/>
    </row>
    <row r="1397" spans="1:16" ht="15.75" customHeight="1">
      <c r="A1397" s="1"/>
      <c r="B1397" s="1"/>
      <c r="C1397" s="1"/>
      <c r="D1397" s="1"/>
      <c r="E1397" s="1"/>
      <c r="F1397" s="1"/>
      <c r="G1397" s="1"/>
      <c r="H1397" s="1"/>
      <c r="I1397" s="1"/>
      <c r="J1397" s="1"/>
      <c r="K1397" s="1"/>
      <c r="L1397" s="1"/>
      <c r="M1397" s="1"/>
      <c r="N1397" s="1"/>
      <c r="O1397" s="1"/>
      <c r="P1397" s="5"/>
    </row>
    <row r="1398" spans="1:16" ht="15.75" customHeight="1">
      <c r="A1398" s="1"/>
      <c r="B1398" s="1"/>
      <c r="C1398" s="1"/>
      <c r="D1398" s="1"/>
      <c r="E1398" s="1"/>
      <c r="F1398" s="1"/>
      <c r="H1398" s="1"/>
      <c r="I1398" s="1"/>
      <c r="J1398" s="1"/>
      <c r="K1398" s="1"/>
      <c r="O1398" s="1"/>
    </row>
    <row r="1399" spans="1:16" ht="15.75" customHeight="1">
      <c r="A1399" s="1"/>
      <c r="B1399" s="1"/>
      <c r="C1399" s="1"/>
      <c r="D1399" s="1"/>
      <c r="E1399" s="1"/>
      <c r="F1399" s="1"/>
      <c r="G1399" s="1"/>
      <c r="H1399" s="1"/>
      <c r="I1399" s="1"/>
      <c r="J1399" s="1"/>
      <c r="K1399" s="1"/>
      <c r="L1399" s="1"/>
      <c r="M1399" s="1"/>
      <c r="N1399" s="1"/>
      <c r="O1399" s="1"/>
      <c r="P1399" s="5"/>
    </row>
    <row r="1400" spans="1:16" ht="15.75" customHeight="1">
      <c r="A1400" s="1"/>
      <c r="B1400" s="1"/>
      <c r="C1400" s="1"/>
      <c r="D1400" s="1"/>
      <c r="E1400" s="1"/>
      <c r="F1400" s="1"/>
      <c r="H1400" s="1"/>
      <c r="I1400" s="1"/>
      <c r="J1400" s="1"/>
      <c r="K1400" s="1"/>
      <c r="O1400" s="1"/>
    </row>
    <row r="1401" spans="1:16" ht="15.75" customHeight="1">
      <c r="A1401" s="1"/>
      <c r="B1401" s="1"/>
      <c r="C1401" s="1"/>
      <c r="D1401" s="1"/>
      <c r="E1401" s="1"/>
      <c r="F1401" s="1"/>
      <c r="G1401" s="1"/>
      <c r="H1401" s="1"/>
      <c r="I1401" s="1"/>
      <c r="J1401" s="1"/>
      <c r="K1401" s="1"/>
      <c r="L1401" s="1"/>
      <c r="M1401" s="1"/>
      <c r="N1401" s="1"/>
      <c r="O1401" s="1"/>
      <c r="P1401" s="5"/>
    </row>
    <row r="1402" spans="1:16" ht="15.75" customHeight="1">
      <c r="A1402" s="1"/>
      <c r="B1402" s="1"/>
      <c r="C1402" s="1"/>
      <c r="D1402" s="1"/>
      <c r="E1402" s="1"/>
      <c r="F1402" s="1"/>
      <c r="H1402" s="1"/>
      <c r="I1402" s="1"/>
      <c r="J1402" s="1"/>
      <c r="K1402" s="1"/>
    </row>
    <row r="1403" spans="1:16" ht="15.75" customHeight="1">
      <c r="A1403" s="1"/>
      <c r="B1403" s="1"/>
      <c r="C1403" s="1"/>
      <c r="D1403" s="1"/>
      <c r="E1403" s="1"/>
      <c r="F1403" s="1"/>
      <c r="H1403" s="1"/>
      <c r="I1403" s="1"/>
      <c r="J1403" s="1"/>
      <c r="K1403" s="1"/>
      <c r="O1403" s="1"/>
    </row>
    <row r="1404" spans="1:16" ht="15.75" customHeight="1">
      <c r="A1404" s="1"/>
      <c r="B1404" s="1"/>
      <c r="C1404" s="1"/>
      <c r="D1404" s="1"/>
      <c r="E1404" s="1"/>
      <c r="F1404" s="1"/>
      <c r="G1404" s="1"/>
      <c r="H1404" s="1"/>
      <c r="I1404" s="1"/>
      <c r="J1404" s="1"/>
      <c r="K1404" s="1"/>
      <c r="L1404" s="1"/>
      <c r="M1404" s="1"/>
      <c r="N1404" s="1"/>
      <c r="O1404" s="1"/>
      <c r="P1404" s="5"/>
    </row>
    <row r="1405" spans="1:16" ht="15.75" customHeight="1">
      <c r="A1405" s="1"/>
      <c r="B1405" s="1"/>
      <c r="C1405" s="1"/>
      <c r="D1405" s="1"/>
      <c r="E1405" s="1"/>
      <c r="F1405" s="1"/>
      <c r="H1405" s="1"/>
      <c r="I1405" s="1"/>
      <c r="J1405" s="1"/>
      <c r="O1405" s="1"/>
    </row>
    <row r="1406" spans="1:16" ht="15.75" customHeight="1">
      <c r="A1406" s="1"/>
      <c r="B1406" s="1"/>
      <c r="C1406" s="1"/>
      <c r="D1406" s="1"/>
      <c r="E1406" s="1"/>
      <c r="F1406" s="1"/>
      <c r="H1406" s="1"/>
      <c r="I1406" s="1"/>
      <c r="J1406" s="1"/>
      <c r="O1406" s="1"/>
    </row>
    <row r="1407" spans="1:16" ht="15.75" customHeight="1">
      <c r="A1407" s="1"/>
      <c r="B1407" s="1"/>
      <c r="C1407" s="1"/>
      <c r="D1407" s="1"/>
      <c r="E1407" s="1"/>
      <c r="F1407" s="1"/>
      <c r="H1407" s="1"/>
      <c r="I1407" s="1"/>
      <c r="J1407" s="1"/>
      <c r="K1407" s="1"/>
      <c r="O1407" s="1"/>
    </row>
    <row r="1408" spans="1:16" ht="15.75" customHeight="1">
      <c r="A1408" s="1"/>
      <c r="B1408" s="1"/>
      <c r="C1408" s="1"/>
      <c r="D1408" s="1"/>
      <c r="E1408" s="1"/>
      <c r="F1408" s="1"/>
      <c r="G1408" s="1"/>
      <c r="H1408" s="1"/>
      <c r="I1408" s="1"/>
      <c r="J1408" s="1"/>
      <c r="K1408" s="1"/>
      <c r="O1408" s="1"/>
    </row>
    <row r="1409" spans="1:15" ht="15.75" customHeight="1">
      <c r="A1409" s="1"/>
      <c r="B1409" s="1"/>
      <c r="C1409" s="1"/>
      <c r="D1409" s="1"/>
      <c r="E1409" s="1"/>
      <c r="F1409" s="1"/>
      <c r="G1409" s="1"/>
      <c r="H1409" s="1"/>
      <c r="I1409" s="1"/>
      <c r="K1409" s="1"/>
      <c r="O1409" s="1"/>
    </row>
    <row r="1410" spans="1:15" ht="15.75" customHeight="1">
      <c r="A1410" s="1"/>
      <c r="B1410" s="1"/>
      <c r="C1410" s="1"/>
      <c r="D1410" s="1"/>
      <c r="E1410" s="1"/>
      <c r="F1410" s="1"/>
      <c r="G1410" s="1"/>
      <c r="H1410" s="1"/>
      <c r="I1410" s="1"/>
      <c r="K1410" s="1"/>
      <c r="O1410" s="1"/>
    </row>
    <row r="1411" spans="1:15" ht="15.75" customHeight="1">
      <c r="A1411" s="1"/>
      <c r="B1411" s="1"/>
      <c r="C1411" s="1"/>
      <c r="D1411" s="1"/>
      <c r="E1411" s="1"/>
      <c r="F1411" s="1"/>
      <c r="H1411" s="1"/>
      <c r="I1411" s="1"/>
      <c r="J1411" s="1"/>
      <c r="K1411" s="1"/>
      <c r="O1411" s="1"/>
    </row>
    <row r="1412" spans="1:15" ht="15.75" customHeight="1">
      <c r="A1412" s="1"/>
      <c r="B1412" s="1"/>
      <c r="C1412" s="2"/>
      <c r="D1412" s="1"/>
      <c r="E1412" s="1"/>
      <c r="F1412" s="1"/>
      <c r="H1412" s="1"/>
      <c r="I1412" s="1"/>
      <c r="J1412" s="1"/>
      <c r="K1412" s="1"/>
      <c r="O1412" s="1"/>
    </row>
    <row r="1413" spans="1:15" ht="15.75" customHeight="1">
      <c r="A1413" s="1"/>
      <c r="B1413" s="1"/>
      <c r="C1413" s="1"/>
      <c r="D1413" s="1"/>
      <c r="E1413" s="1"/>
      <c r="F1413" s="1"/>
      <c r="H1413" s="1"/>
      <c r="I1413" s="1"/>
      <c r="J1413" s="1"/>
      <c r="K1413" s="1"/>
      <c r="O1413" s="1"/>
    </row>
    <row r="1414" spans="1:15" ht="15.75" customHeight="1">
      <c r="A1414" s="1"/>
      <c r="B1414" s="1"/>
      <c r="C1414" s="1"/>
      <c r="D1414" s="1"/>
      <c r="E1414" s="1"/>
      <c r="F1414" s="1"/>
      <c r="H1414" s="1"/>
      <c r="I1414" s="1"/>
      <c r="J1414" s="1"/>
      <c r="K1414" s="1"/>
      <c r="O1414" s="1"/>
    </row>
    <row r="1415" spans="1:15" ht="15.75" customHeight="1">
      <c r="A1415" s="1"/>
      <c r="B1415" s="1"/>
      <c r="C1415" s="1"/>
      <c r="D1415" s="1"/>
      <c r="E1415" s="1"/>
      <c r="F1415" s="1"/>
      <c r="H1415" s="1"/>
      <c r="I1415" s="1"/>
      <c r="J1415" s="1"/>
      <c r="O1415" s="1"/>
    </row>
    <row r="1416" spans="1:15" ht="15.75" customHeight="1">
      <c r="A1416" s="1"/>
      <c r="B1416" s="1"/>
      <c r="C1416" s="1"/>
      <c r="D1416" s="1"/>
      <c r="E1416" s="1"/>
      <c r="F1416" s="1"/>
      <c r="H1416" s="1"/>
      <c r="I1416" s="1"/>
      <c r="J1416" s="1"/>
      <c r="O1416" s="1"/>
    </row>
    <row r="1417" spans="1:15" ht="15.75" customHeight="1">
      <c r="A1417" s="1"/>
      <c r="B1417" s="1"/>
      <c r="C1417" s="1"/>
      <c r="D1417" s="1"/>
      <c r="E1417" s="1"/>
      <c r="F1417" s="1"/>
      <c r="H1417" s="1"/>
      <c r="I1417" s="1"/>
      <c r="J1417" s="1"/>
      <c r="O1417" s="1"/>
    </row>
    <row r="1418" spans="1:15" ht="15.75" customHeight="1">
      <c r="A1418" s="1"/>
      <c r="B1418" s="1"/>
      <c r="C1418" s="1"/>
      <c r="D1418" s="1"/>
      <c r="E1418" s="1"/>
      <c r="F1418" s="1"/>
      <c r="G1418" s="1"/>
      <c r="H1418" s="1"/>
      <c r="I1418" s="1"/>
      <c r="K1418" s="1"/>
      <c r="O1418" s="1"/>
    </row>
    <row r="1419" spans="1:15" ht="15.75" customHeight="1">
      <c r="A1419" s="1"/>
      <c r="B1419" s="1"/>
      <c r="C1419" s="1"/>
      <c r="D1419" s="1"/>
      <c r="E1419" s="1"/>
      <c r="F1419" s="1"/>
      <c r="G1419" s="1"/>
      <c r="H1419" s="1"/>
      <c r="I1419" s="1"/>
      <c r="J1419" s="1"/>
      <c r="K1419" s="1"/>
    </row>
    <row r="1420" spans="1:15" ht="15.75" customHeight="1">
      <c r="A1420" s="1"/>
      <c r="B1420" s="1"/>
      <c r="C1420" s="1"/>
      <c r="D1420" s="1"/>
      <c r="E1420" s="1"/>
      <c r="F1420" s="1"/>
      <c r="G1420" s="1"/>
      <c r="H1420" s="1"/>
      <c r="I1420" s="1"/>
      <c r="K1420" s="1"/>
    </row>
    <row r="1421" spans="1:15" ht="15.75" customHeight="1">
      <c r="A1421" s="1"/>
      <c r="B1421" s="1"/>
      <c r="C1421" s="1"/>
      <c r="D1421" s="1"/>
      <c r="E1421" s="1"/>
      <c r="F1421" s="1"/>
      <c r="G1421" s="1"/>
      <c r="H1421" s="1"/>
      <c r="I1421" s="1"/>
      <c r="J1421" s="1"/>
      <c r="O1421" s="1"/>
    </row>
    <row r="1422" spans="1:15" ht="15.75" customHeight="1">
      <c r="A1422" s="1"/>
      <c r="B1422" s="1"/>
      <c r="C1422" s="1"/>
      <c r="D1422" s="1"/>
      <c r="E1422" s="1"/>
      <c r="F1422" s="1"/>
      <c r="G1422" s="1"/>
      <c r="H1422" s="1"/>
      <c r="I1422" s="1"/>
      <c r="J1422" s="1"/>
      <c r="K1422" s="1"/>
    </row>
    <row r="1423" spans="1:15" ht="15.75" customHeight="1">
      <c r="A1423" s="1"/>
      <c r="B1423" s="1"/>
      <c r="C1423" s="1"/>
      <c r="D1423" s="1"/>
      <c r="E1423" s="1"/>
      <c r="F1423" s="1"/>
      <c r="G1423" s="1"/>
      <c r="H1423" s="1"/>
      <c r="I1423" s="1"/>
      <c r="J1423" s="1"/>
      <c r="K1423" s="1"/>
    </row>
    <row r="1424" spans="1:15" ht="15.75" customHeight="1">
      <c r="A1424" s="1"/>
      <c r="B1424" s="1"/>
      <c r="C1424" s="1"/>
      <c r="D1424" s="1"/>
      <c r="E1424" s="1"/>
      <c r="F1424" s="1"/>
      <c r="G1424" s="1"/>
      <c r="H1424" s="1"/>
      <c r="I1424" s="1"/>
      <c r="J1424" s="1"/>
      <c r="K1424" s="1"/>
    </row>
    <row r="1425" spans="1:16" ht="15.75" customHeight="1">
      <c r="A1425" s="1"/>
      <c r="B1425" s="1"/>
      <c r="C1425" s="1"/>
      <c r="D1425" s="1"/>
      <c r="E1425" s="1"/>
      <c r="F1425" s="1"/>
      <c r="G1425" s="1"/>
      <c r="H1425" s="1"/>
      <c r="I1425" s="1"/>
      <c r="J1425" s="1"/>
      <c r="K1425" s="1"/>
    </row>
    <row r="1426" spans="1:16" ht="15.75" customHeight="1">
      <c r="A1426" s="1"/>
      <c r="B1426" s="1"/>
      <c r="C1426" s="1"/>
      <c r="D1426" s="1"/>
      <c r="E1426" s="1"/>
      <c r="F1426" s="1"/>
      <c r="G1426" s="1"/>
      <c r="H1426" s="1"/>
      <c r="I1426" s="1"/>
      <c r="J1426" s="1"/>
      <c r="K1426" s="1"/>
      <c r="L1426" s="1"/>
      <c r="M1426" s="1"/>
      <c r="N1426" s="1"/>
      <c r="O1426" s="1"/>
      <c r="P1426" s="5"/>
    </row>
    <row r="1427" spans="1:16" ht="15.75" customHeight="1">
      <c r="A1427" s="1"/>
      <c r="B1427" s="1"/>
      <c r="C1427" s="1"/>
      <c r="D1427" s="1"/>
      <c r="E1427" s="1"/>
      <c r="F1427" s="1"/>
      <c r="H1427" s="1"/>
      <c r="I1427" s="1"/>
      <c r="J1427" s="1"/>
      <c r="K1427" s="1"/>
      <c r="O1427" s="1"/>
    </row>
    <row r="1428" spans="1:16" ht="15.75" customHeight="1">
      <c r="A1428" s="1"/>
      <c r="B1428" s="1"/>
      <c r="C1428" s="1"/>
      <c r="D1428" s="1"/>
      <c r="E1428" s="1"/>
      <c r="F1428" s="1"/>
      <c r="H1428" s="1"/>
      <c r="I1428" s="1"/>
      <c r="J1428" s="1"/>
      <c r="K1428" s="1"/>
      <c r="O1428" s="1"/>
    </row>
    <row r="1429" spans="1:16" ht="15.75" customHeight="1">
      <c r="A1429" s="1"/>
      <c r="B1429" s="1"/>
      <c r="C1429" s="1"/>
      <c r="D1429" s="1"/>
      <c r="F1429" s="1"/>
      <c r="H1429" s="1"/>
      <c r="I1429" s="1"/>
      <c r="J1429" s="1"/>
      <c r="K1429" s="1"/>
      <c r="O1429" s="1"/>
    </row>
    <row r="1430" spans="1:16" ht="15.75" customHeight="1">
      <c r="A1430" s="1"/>
      <c r="B1430" s="1"/>
      <c r="C1430" s="1"/>
      <c r="D1430" s="1"/>
      <c r="F1430" s="1"/>
      <c r="H1430" s="1"/>
      <c r="I1430" s="1"/>
      <c r="J1430" s="1"/>
      <c r="K1430" s="1"/>
      <c r="O1430" s="1"/>
    </row>
    <row r="1431" spans="1:16" ht="15.75" customHeight="1">
      <c r="A1431" s="1"/>
      <c r="B1431" s="1"/>
      <c r="C1431" s="1"/>
      <c r="D1431" s="1"/>
      <c r="E1431" s="1"/>
      <c r="F1431" s="1"/>
      <c r="H1431" s="1"/>
      <c r="I1431" s="1"/>
      <c r="J1431" s="1"/>
      <c r="K1431" s="1"/>
      <c r="O1431" s="1"/>
    </row>
    <row r="1432" spans="1:16" ht="15.75" customHeight="1">
      <c r="A1432" s="1"/>
      <c r="B1432" s="1"/>
      <c r="C1432" s="1"/>
      <c r="D1432" s="1"/>
      <c r="E1432" s="1"/>
      <c r="F1432" s="1"/>
      <c r="H1432" s="1"/>
      <c r="I1432" s="1"/>
      <c r="J1432" s="1"/>
      <c r="K1432" s="1"/>
    </row>
    <row r="1433" spans="1:16" ht="15.75" customHeight="1">
      <c r="A1433" s="1"/>
      <c r="B1433" s="1"/>
      <c r="C1433" s="1"/>
      <c r="D1433" s="1"/>
      <c r="E1433" s="1"/>
      <c r="F1433" s="1"/>
      <c r="H1433" s="1"/>
      <c r="I1433" s="1"/>
      <c r="J1433" s="1"/>
      <c r="O1433" s="1"/>
    </row>
    <row r="1434" spans="1:16" ht="15.75" customHeight="1">
      <c r="A1434" s="1"/>
      <c r="B1434" s="1"/>
      <c r="C1434" s="1"/>
      <c r="D1434" s="1"/>
      <c r="E1434" s="1"/>
      <c r="F1434" s="1"/>
      <c r="H1434" s="1"/>
      <c r="I1434" s="1"/>
      <c r="J1434" s="1"/>
      <c r="K1434" s="1"/>
      <c r="O1434" s="1"/>
    </row>
    <row r="1435" spans="1:16" ht="15.75" customHeight="1">
      <c r="A1435" s="1"/>
      <c r="B1435" s="1"/>
      <c r="C1435" s="1"/>
      <c r="D1435" s="1"/>
      <c r="E1435" s="1"/>
      <c r="F1435" s="1"/>
      <c r="H1435" s="1"/>
      <c r="I1435" s="1"/>
      <c r="J1435" s="1"/>
      <c r="O1435" s="1"/>
    </row>
    <row r="1436" spans="1:16" ht="15.75" customHeight="1">
      <c r="A1436" s="1"/>
      <c r="B1436" s="1"/>
      <c r="C1436" s="1"/>
      <c r="D1436" s="1"/>
      <c r="E1436" s="1"/>
      <c r="F1436" s="2"/>
      <c r="H1436" s="1"/>
      <c r="I1436" s="1"/>
      <c r="J1436" s="1"/>
      <c r="K1436" s="1"/>
      <c r="O1436" s="1"/>
    </row>
    <row r="1437" spans="1:16" ht="15.75" customHeight="1">
      <c r="A1437" s="1"/>
      <c r="B1437" s="1"/>
      <c r="C1437" s="1"/>
      <c r="D1437" s="1"/>
      <c r="E1437" s="1"/>
      <c r="F1437" s="1"/>
      <c r="H1437" s="1"/>
      <c r="I1437" s="1"/>
      <c r="J1437" s="1"/>
      <c r="K1437" s="1"/>
      <c r="O1437" s="1"/>
    </row>
    <row r="1438" spans="1:16" ht="15.75" customHeight="1">
      <c r="A1438" s="1"/>
      <c r="B1438" s="1"/>
      <c r="C1438" s="1"/>
      <c r="D1438" s="1"/>
      <c r="E1438" s="1"/>
      <c r="F1438" s="1"/>
      <c r="G1438" s="1"/>
      <c r="H1438" s="1"/>
      <c r="I1438" s="1"/>
      <c r="J1438" s="1"/>
      <c r="K1438" s="1"/>
      <c r="L1438" s="1"/>
      <c r="M1438" s="1"/>
      <c r="N1438" s="1"/>
      <c r="O1438" s="1"/>
      <c r="P1438" s="5"/>
    </row>
    <row r="1439" spans="1:16" ht="15.75" customHeight="1">
      <c r="A1439" s="1"/>
      <c r="B1439" s="1"/>
      <c r="C1439" s="1"/>
      <c r="D1439" s="1"/>
      <c r="E1439" s="2"/>
      <c r="F1439" s="2"/>
      <c r="H1439" s="1"/>
      <c r="I1439" s="1"/>
      <c r="J1439" s="1"/>
      <c r="K1439" s="1"/>
      <c r="O1439" s="1"/>
    </row>
    <row r="1440" spans="1:16" ht="15.75" customHeight="1">
      <c r="A1440" s="1"/>
      <c r="B1440" s="1"/>
      <c r="C1440" s="1"/>
      <c r="D1440" s="1"/>
      <c r="E1440" s="1"/>
      <c r="F1440" s="1"/>
      <c r="H1440" s="1"/>
      <c r="I1440" s="1"/>
      <c r="J1440" s="1"/>
      <c r="K1440" s="1"/>
      <c r="O1440" s="1"/>
    </row>
    <row r="1441" spans="1:16" ht="15.75" customHeight="1">
      <c r="A1441" s="1"/>
      <c r="B1441" s="1"/>
      <c r="C1441" s="1"/>
      <c r="D1441" s="1"/>
      <c r="E1441" s="1"/>
      <c r="F1441" s="1"/>
      <c r="H1441" s="1"/>
      <c r="I1441" s="1"/>
      <c r="J1441" s="1"/>
      <c r="K1441" s="1"/>
      <c r="O1441" s="1"/>
    </row>
    <row r="1442" spans="1:16" ht="15.75" customHeight="1">
      <c r="A1442" s="1"/>
      <c r="B1442" s="1"/>
      <c r="C1442" s="1"/>
      <c r="D1442" s="1"/>
      <c r="E1442" s="1"/>
      <c r="F1442" s="2"/>
      <c r="G1442" s="1"/>
      <c r="H1442" s="1"/>
      <c r="I1442" s="1"/>
      <c r="J1442" s="1"/>
      <c r="K1442" s="1"/>
      <c r="L1442" s="1"/>
      <c r="M1442" s="1"/>
      <c r="N1442" s="1"/>
      <c r="O1442" s="1"/>
      <c r="P1442" s="5"/>
    </row>
    <row r="1443" spans="1:16" ht="15.75" customHeight="1">
      <c r="A1443" s="1"/>
      <c r="B1443" s="1"/>
      <c r="C1443" s="1"/>
      <c r="D1443" s="1"/>
      <c r="E1443" s="1"/>
      <c r="F1443" s="1"/>
      <c r="G1443" s="1"/>
      <c r="H1443" s="1"/>
      <c r="I1443" s="1"/>
      <c r="J1443" s="1"/>
      <c r="K1443" s="1"/>
      <c r="O1443" s="1"/>
    </row>
    <row r="1444" spans="1:16" ht="15.75" customHeight="1">
      <c r="A1444" s="1"/>
      <c r="B1444" s="1"/>
      <c r="C1444" s="1"/>
      <c r="D1444" s="1"/>
      <c r="E1444" s="1"/>
      <c r="F1444" s="1"/>
      <c r="G1444" s="1"/>
      <c r="H1444" s="1"/>
      <c r="I1444" s="1"/>
      <c r="J1444" s="1"/>
      <c r="K1444" s="1"/>
      <c r="L1444" s="1"/>
      <c r="M1444" s="1"/>
      <c r="N1444" s="1"/>
      <c r="O1444" s="1"/>
      <c r="P1444" s="5"/>
    </row>
    <row r="1445" spans="1:16" ht="15.75" customHeight="1">
      <c r="A1445" s="1"/>
      <c r="B1445" s="1"/>
      <c r="C1445" s="1"/>
      <c r="D1445" s="1"/>
      <c r="E1445" s="1"/>
      <c r="F1445" s="1"/>
      <c r="H1445" s="1"/>
      <c r="I1445" s="1"/>
      <c r="J1445" s="1"/>
      <c r="K1445" s="1"/>
      <c r="O1445" s="1"/>
    </row>
    <row r="1446" spans="1:16" ht="15.75" customHeight="1">
      <c r="A1446" s="1"/>
      <c r="B1446" s="1"/>
      <c r="C1446" s="1"/>
      <c r="D1446" s="1"/>
      <c r="E1446" s="1"/>
      <c r="F1446" s="1"/>
      <c r="H1446" s="1"/>
      <c r="I1446" s="1"/>
      <c r="J1446" s="1"/>
      <c r="O1446" s="1"/>
    </row>
    <row r="1447" spans="1:16" ht="15.75" customHeight="1">
      <c r="A1447" s="1"/>
      <c r="B1447" s="1"/>
      <c r="C1447" s="1"/>
      <c r="D1447" s="1"/>
      <c r="E1447" s="1"/>
      <c r="F1447" s="1"/>
      <c r="H1447" s="1"/>
      <c r="I1447" s="1"/>
      <c r="J1447" s="1"/>
      <c r="K1447" s="1"/>
      <c r="O1447" s="1"/>
    </row>
    <row r="1448" spans="1:16" ht="15.75" customHeight="1">
      <c r="A1448" s="1"/>
      <c r="B1448" s="1"/>
      <c r="C1448" s="1"/>
      <c r="D1448" s="1"/>
      <c r="E1448" s="1"/>
      <c r="F1448" s="1"/>
      <c r="H1448" s="1"/>
      <c r="I1448" s="1"/>
      <c r="J1448" s="1"/>
      <c r="K1448" s="1"/>
      <c r="O1448" s="1"/>
    </row>
    <row r="1449" spans="1:16" ht="15.75" customHeight="1">
      <c r="A1449" s="1"/>
      <c r="B1449" s="1"/>
      <c r="C1449" s="1"/>
      <c r="D1449" s="1"/>
      <c r="E1449" s="1"/>
      <c r="F1449" s="1"/>
      <c r="H1449" s="1"/>
      <c r="I1449" s="1"/>
      <c r="J1449" s="1"/>
      <c r="K1449" s="1"/>
      <c r="O1449" s="1"/>
    </row>
    <row r="1450" spans="1:16" ht="15.75" customHeight="1">
      <c r="A1450" s="1"/>
      <c r="B1450" s="1"/>
      <c r="C1450" s="1"/>
      <c r="D1450" s="1"/>
      <c r="E1450" s="1"/>
      <c r="F1450" s="1"/>
      <c r="H1450" s="1"/>
      <c r="I1450" s="1"/>
      <c r="J1450" s="1"/>
      <c r="O1450" s="1"/>
    </row>
    <row r="1451" spans="1:16" ht="15.75" customHeight="1">
      <c r="A1451" s="1"/>
      <c r="B1451" s="1"/>
      <c r="C1451" s="1"/>
      <c r="D1451" s="1"/>
      <c r="E1451" s="1"/>
      <c r="F1451" s="1"/>
      <c r="H1451" s="1"/>
      <c r="I1451" s="1"/>
      <c r="J1451" s="1"/>
      <c r="O1451" s="1"/>
    </row>
    <row r="1452" spans="1:16" ht="15.75" customHeight="1">
      <c r="A1452" s="1"/>
      <c r="B1452" s="1"/>
      <c r="C1452" s="1"/>
      <c r="D1452" s="1"/>
      <c r="E1452" s="1"/>
      <c r="F1452" s="1"/>
      <c r="H1452" s="1"/>
      <c r="I1452" s="1"/>
      <c r="J1452" s="1"/>
      <c r="O1452" s="1"/>
    </row>
    <row r="1453" spans="1:16" ht="15.75" customHeight="1">
      <c r="A1453" s="1"/>
      <c r="B1453" s="1"/>
      <c r="C1453" s="1"/>
      <c r="D1453" s="1"/>
      <c r="F1453" s="1"/>
      <c r="H1453" s="1"/>
      <c r="I1453" s="1"/>
      <c r="J1453" s="1"/>
      <c r="K1453" s="1"/>
      <c r="O1453" s="1"/>
    </row>
    <row r="1454" spans="1:16" ht="15.75" customHeight="1">
      <c r="A1454" s="1"/>
      <c r="B1454" s="1"/>
      <c r="C1454" s="1"/>
      <c r="D1454" s="1"/>
      <c r="F1454" s="1"/>
      <c r="H1454" s="1"/>
      <c r="I1454" s="1"/>
      <c r="J1454" s="1"/>
      <c r="K1454" s="1"/>
      <c r="O1454" s="1"/>
    </row>
    <row r="1455" spans="1:16" ht="15.75" customHeight="1">
      <c r="A1455" s="1"/>
      <c r="B1455" s="1"/>
      <c r="C1455" s="1"/>
      <c r="D1455" s="1"/>
      <c r="E1455" s="1"/>
      <c r="F1455" s="1"/>
      <c r="H1455" s="1"/>
      <c r="I1455" s="1"/>
      <c r="J1455" s="1"/>
      <c r="K1455" s="1"/>
      <c r="O1455" s="1"/>
    </row>
    <row r="1456" spans="1:16" ht="15.75" customHeight="1">
      <c r="A1456" s="1"/>
      <c r="B1456" s="1"/>
      <c r="C1456" s="1"/>
      <c r="D1456" s="1"/>
      <c r="F1456" s="1"/>
      <c r="H1456" s="1"/>
      <c r="I1456" s="1"/>
      <c r="J1456" s="1"/>
      <c r="K1456" s="1"/>
      <c r="O1456" s="1"/>
    </row>
    <row r="1457" spans="1:16" ht="15.75" customHeight="1">
      <c r="A1457" s="1"/>
      <c r="B1457" s="1"/>
      <c r="C1457" s="1"/>
      <c r="D1457" s="1"/>
      <c r="E1457" s="1"/>
      <c r="F1457" s="1"/>
      <c r="H1457" s="1"/>
      <c r="I1457" s="1"/>
      <c r="J1457" s="1"/>
      <c r="K1457" s="1"/>
      <c r="O1457" s="1"/>
    </row>
    <row r="1458" spans="1:16" ht="15.75" customHeight="1">
      <c r="A1458" s="1"/>
      <c r="B1458" s="1"/>
      <c r="C1458" s="1"/>
      <c r="D1458" s="1"/>
      <c r="E1458" s="1"/>
      <c r="F1458" s="1"/>
      <c r="H1458" s="1"/>
      <c r="I1458" s="1"/>
      <c r="O1458" s="1"/>
    </row>
    <row r="1459" spans="1:16" ht="15.75" customHeight="1">
      <c r="A1459" s="1"/>
      <c r="B1459" s="1"/>
      <c r="C1459" s="1"/>
      <c r="D1459" s="1"/>
      <c r="E1459" s="1"/>
      <c r="F1459" s="1"/>
      <c r="H1459" s="1"/>
      <c r="I1459" s="1"/>
      <c r="O1459" s="1"/>
    </row>
    <row r="1460" spans="1:16" ht="15.75" customHeight="1">
      <c r="A1460" s="1"/>
      <c r="B1460" s="1"/>
      <c r="C1460" s="1"/>
      <c r="D1460" s="1"/>
      <c r="E1460" s="1"/>
      <c r="F1460" s="1"/>
      <c r="H1460" s="1"/>
      <c r="I1460" s="1"/>
      <c r="J1460" s="1"/>
      <c r="K1460" s="1"/>
      <c r="O1460" s="1"/>
    </row>
    <row r="1461" spans="1:16" ht="15.75" customHeight="1">
      <c r="A1461" s="1"/>
      <c r="B1461" s="1"/>
      <c r="C1461" s="1"/>
      <c r="D1461" s="1"/>
      <c r="E1461" s="1"/>
      <c r="F1461" s="1"/>
      <c r="H1461" s="1"/>
      <c r="I1461" s="1"/>
      <c r="J1461" s="1"/>
      <c r="K1461" s="1"/>
      <c r="O1461" s="1"/>
    </row>
    <row r="1462" spans="1:16" ht="15.75" customHeight="1">
      <c r="A1462" s="1"/>
      <c r="B1462" s="1"/>
      <c r="C1462" s="1"/>
      <c r="D1462" s="1"/>
      <c r="E1462" s="1"/>
      <c r="F1462" s="1"/>
      <c r="G1462" s="1"/>
      <c r="H1462" s="1"/>
      <c r="I1462" s="1"/>
      <c r="J1462" s="1"/>
      <c r="K1462" s="1"/>
      <c r="L1462" s="1"/>
      <c r="M1462" s="1"/>
      <c r="N1462" s="1"/>
      <c r="O1462" s="1"/>
      <c r="P1462" s="5"/>
    </row>
    <row r="1463" spans="1:16" ht="15.75" customHeight="1">
      <c r="A1463" s="1"/>
      <c r="B1463" s="1"/>
      <c r="C1463" s="1"/>
      <c r="D1463" s="1"/>
      <c r="E1463" s="1"/>
      <c r="F1463" s="1"/>
      <c r="H1463" s="1"/>
      <c r="I1463" s="1"/>
      <c r="J1463" s="1"/>
      <c r="O1463" s="1"/>
    </row>
    <row r="1464" spans="1:16" ht="15.75" customHeight="1">
      <c r="A1464" s="1"/>
      <c r="B1464" s="1"/>
      <c r="C1464" s="1"/>
      <c r="D1464" s="1"/>
      <c r="E1464" s="1"/>
      <c r="F1464" s="1"/>
      <c r="H1464" s="1"/>
      <c r="I1464" s="1"/>
      <c r="J1464" s="1"/>
      <c r="K1464" s="1"/>
      <c r="O1464" s="1"/>
    </row>
    <row r="1465" spans="1:16" ht="15.75" customHeight="1">
      <c r="A1465" s="1"/>
      <c r="B1465" s="1"/>
      <c r="C1465" s="1"/>
      <c r="D1465" s="1"/>
      <c r="E1465" s="1"/>
      <c r="F1465" s="1"/>
      <c r="H1465" s="1"/>
      <c r="I1465" s="1"/>
      <c r="J1465" s="1"/>
      <c r="K1465" s="1"/>
      <c r="O1465" s="1"/>
    </row>
    <row r="1466" spans="1:16" ht="15.75" customHeight="1">
      <c r="A1466" s="1"/>
      <c r="B1466" s="1"/>
      <c r="C1466" s="1"/>
      <c r="D1466" s="1"/>
      <c r="E1466" s="1"/>
      <c r="F1466" s="1"/>
      <c r="H1466" s="1"/>
      <c r="I1466" s="1"/>
      <c r="J1466" s="1"/>
      <c r="K1466" s="1"/>
      <c r="O1466" s="1"/>
    </row>
    <row r="1467" spans="1:16" ht="15.75" customHeight="1">
      <c r="A1467" s="1"/>
      <c r="B1467" s="1"/>
      <c r="C1467" s="1"/>
      <c r="D1467" s="1"/>
      <c r="E1467" s="1"/>
      <c r="F1467" s="1"/>
      <c r="H1467" s="1"/>
      <c r="I1467" s="1"/>
      <c r="J1467" s="1"/>
      <c r="O1467" s="1"/>
    </row>
    <row r="1468" spans="1:16" ht="15.75" customHeight="1">
      <c r="A1468" s="1"/>
      <c r="B1468" s="1"/>
      <c r="C1468" s="1"/>
      <c r="D1468" s="1"/>
      <c r="E1468" s="1"/>
      <c r="F1468" s="1"/>
      <c r="H1468" s="1"/>
      <c r="I1468" s="1"/>
      <c r="K1468" s="1"/>
      <c r="O1468" s="1"/>
    </row>
    <row r="1469" spans="1:16" ht="15.75" customHeight="1">
      <c r="A1469" s="1"/>
      <c r="B1469" s="1"/>
      <c r="C1469" s="1"/>
      <c r="D1469" s="1"/>
      <c r="E1469" s="1"/>
      <c r="F1469" s="1"/>
      <c r="G1469" s="1"/>
      <c r="H1469" s="1"/>
      <c r="I1469" s="1"/>
      <c r="J1469" s="1"/>
      <c r="K1469" s="1"/>
    </row>
    <row r="1470" spans="1:16" ht="15.75" customHeight="1">
      <c r="A1470" s="1"/>
      <c r="B1470" s="1"/>
      <c r="C1470" s="1"/>
      <c r="D1470" s="1"/>
      <c r="E1470" s="1"/>
      <c r="F1470" s="1"/>
      <c r="G1470" s="1"/>
      <c r="H1470" s="1"/>
      <c r="I1470" s="1"/>
      <c r="J1470" s="1"/>
      <c r="K1470" s="1"/>
      <c r="L1470" s="1"/>
      <c r="M1470" s="1"/>
      <c r="N1470" s="1"/>
      <c r="O1470" s="1"/>
      <c r="P1470" s="5"/>
    </row>
    <row r="1471" spans="1:16" ht="15.75" customHeight="1">
      <c r="A1471" s="1"/>
      <c r="B1471" s="1"/>
      <c r="C1471" s="1"/>
      <c r="D1471" s="1"/>
      <c r="E1471" s="1"/>
      <c r="F1471" s="1"/>
      <c r="H1471" s="1"/>
      <c r="I1471" s="1"/>
      <c r="J1471" s="1"/>
      <c r="O1471" s="1"/>
    </row>
    <row r="1472" spans="1:16" ht="15.75" customHeight="1">
      <c r="A1472" s="1"/>
      <c r="B1472" s="1"/>
      <c r="C1472" s="1"/>
      <c r="D1472" s="1"/>
      <c r="E1472" s="1"/>
      <c r="F1472" s="1"/>
      <c r="H1472" s="1"/>
      <c r="I1472" s="1"/>
      <c r="J1472" s="1"/>
      <c r="O1472" s="1"/>
    </row>
    <row r="1473" spans="1:16" ht="15.75" customHeight="1">
      <c r="A1473" s="1"/>
      <c r="B1473" s="1"/>
      <c r="C1473" s="1"/>
      <c r="D1473" s="1"/>
      <c r="E1473" s="1"/>
      <c r="F1473" s="2"/>
      <c r="H1473" s="1"/>
      <c r="I1473" s="1"/>
      <c r="J1473" s="1"/>
      <c r="K1473" s="1"/>
      <c r="O1473" s="1"/>
    </row>
    <row r="1474" spans="1:16" ht="15.75" customHeight="1">
      <c r="A1474" s="1"/>
      <c r="B1474" s="1"/>
      <c r="C1474" s="1"/>
      <c r="D1474" s="1"/>
      <c r="E1474" s="1"/>
      <c r="F1474" s="1"/>
      <c r="H1474" s="1"/>
      <c r="I1474" s="1"/>
      <c r="J1474" s="1"/>
      <c r="K1474" s="1"/>
      <c r="O1474" s="1"/>
    </row>
    <row r="1475" spans="1:16" ht="15.75" customHeight="1">
      <c r="A1475" s="1"/>
      <c r="B1475" s="1"/>
      <c r="C1475" s="1"/>
      <c r="D1475" s="1"/>
      <c r="E1475" s="1"/>
      <c r="F1475" s="1"/>
      <c r="H1475" s="1"/>
      <c r="I1475" s="1"/>
      <c r="J1475" s="1"/>
      <c r="K1475" s="1"/>
      <c r="O1475" s="1"/>
    </row>
    <row r="1476" spans="1:16" ht="15.75" customHeight="1">
      <c r="A1476" s="1"/>
      <c r="B1476" s="1"/>
      <c r="C1476" s="1"/>
      <c r="D1476" s="1"/>
      <c r="E1476" s="1"/>
      <c r="F1476" s="1"/>
      <c r="H1476" s="1"/>
      <c r="I1476" s="1"/>
      <c r="J1476" s="1"/>
      <c r="O1476" s="1"/>
    </row>
    <row r="1477" spans="1:16" ht="15.75" customHeight="1">
      <c r="A1477" s="1"/>
      <c r="B1477" s="1"/>
      <c r="C1477" s="1"/>
      <c r="D1477" s="1"/>
      <c r="E1477" s="1"/>
      <c r="F1477" s="1"/>
      <c r="H1477" s="1"/>
      <c r="I1477" s="1"/>
      <c r="J1477" s="1"/>
      <c r="O1477" s="1"/>
    </row>
    <row r="1478" spans="1:16" ht="15.75" customHeight="1">
      <c r="A1478" s="1"/>
      <c r="B1478" s="1"/>
      <c r="C1478" s="1"/>
      <c r="D1478" s="1"/>
      <c r="E1478" s="1"/>
      <c r="F1478" s="1"/>
      <c r="H1478" s="1"/>
      <c r="I1478" s="1"/>
      <c r="J1478" s="1"/>
      <c r="O1478" s="1"/>
    </row>
    <row r="1479" spans="1:16" ht="15.75" customHeight="1">
      <c r="A1479" s="1"/>
      <c r="B1479" s="1"/>
      <c r="C1479" s="1"/>
      <c r="D1479" s="1"/>
      <c r="E1479" s="1"/>
      <c r="F1479" s="1"/>
      <c r="G1479" s="1"/>
      <c r="H1479" s="1"/>
      <c r="I1479" s="1"/>
      <c r="J1479" s="1"/>
      <c r="O1479" s="1"/>
    </row>
    <row r="1480" spans="1:16" ht="15.75" customHeight="1">
      <c r="A1480" s="1"/>
      <c r="B1480" s="1"/>
      <c r="C1480" s="1"/>
      <c r="D1480" s="1"/>
      <c r="E1480" s="1"/>
      <c r="F1480" s="1"/>
      <c r="G1480" s="1"/>
      <c r="H1480" s="1"/>
      <c r="I1480" s="1"/>
      <c r="J1480" s="1"/>
      <c r="O1480" s="1"/>
    </row>
    <row r="1481" spans="1:16" ht="15.75" customHeight="1">
      <c r="A1481" s="1"/>
      <c r="B1481" s="1"/>
      <c r="C1481" s="1"/>
      <c r="D1481" s="1"/>
      <c r="E1481" s="1"/>
      <c r="F1481" s="1"/>
      <c r="H1481" s="1"/>
      <c r="I1481" s="1"/>
      <c r="J1481" s="1"/>
      <c r="K1481" s="1"/>
      <c r="O1481" s="1"/>
    </row>
    <row r="1482" spans="1:16" ht="15.75" customHeight="1">
      <c r="A1482" s="1"/>
      <c r="B1482" s="1"/>
      <c r="C1482" s="1"/>
      <c r="D1482" s="1"/>
      <c r="E1482" s="1"/>
      <c r="F1482" s="1"/>
      <c r="H1482" s="1"/>
      <c r="I1482" s="1"/>
      <c r="O1482" s="1"/>
    </row>
    <row r="1483" spans="1:16" ht="15.75" customHeight="1">
      <c r="A1483" s="1"/>
      <c r="B1483" s="1"/>
      <c r="C1483" s="1"/>
      <c r="D1483" s="1"/>
      <c r="E1483" s="1"/>
      <c r="F1483" s="1"/>
      <c r="G1483" s="1"/>
      <c r="H1483" s="1"/>
      <c r="I1483" s="1"/>
      <c r="J1483" s="1"/>
      <c r="K1483" s="1"/>
    </row>
    <row r="1484" spans="1:16" ht="15.75" customHeight="1">
      <c r="A1484" s="1"/>
      <c r="B1484" s="1"/>
      <c r="C1484" s="1"/>
      <c r="D1484" s="1"/>
      <c r="E1484" s="1"/>
      <c r="F1484" s="1"/>
      <c r="G1484" s="1"/>
      <c r="H1484" s="1"/>
      <c r="I1484" s="1"/>
      <c r="J1484" s="1"/>
      <c r="K1484" s="1"/>
    </row>
    <row r="1485" spans="1:16" ht="15.75" customHeight="1">
      <c r="A1485" s="1"/>
      <c r="B1485" s="1"/>
      <c r="C1485" s="1"/>
      <c r="D1485" s="1"/>
      <c r="E1485" s="1"/>
      <c r="F1485" s="1"/>
      <c r="H1485" s="1"/>
      <c r="I1485" s="1"/>
      <c r="J1485" s="1"/>
      <c r="O1485" s="1"/>
    </row>
    <row r="1486" spans="1:16" ht="15.75" customHeight="1">
      <c r="A1486" s="1"/>
      <c r="B1486" s="1"/>
      <c r="C1486" s="1"/>
      <c r="D1486" s="1"/>
      <c r="E1486" s="1"/>
      <c r="F1486" s="1"/>
      <c r="H1486" s="1"/>
      <c r="I1486" s="1"/>
      <c r="J1486" s="1"/>
      <c r="K1486" s="1"/>
      <c r="O1486" s="1"/>
    </row>
    <row r="1487" spans="1:16" ht="15.75" customHeight="1">
      <c r="A1487" s="1"/>
      <c r="B1487" s="1"/>
      <c r="C1487" s="1"/>
      <c r="D1487" s="1"/>
      <c r="E1487" s="1"/>
      <c r="F1487" s="1"/>
      <c r="H1487" s="1"/>
      <c r="I1487" s="1"/>
      <c r="O1487" s="1"/>
    </row>
    <row r="1488" spans="1:16" ht="15.75" customHeight="1">
      <c r="A1488" s="1"/>
      <c r="B1488" s="1"/>
      <c r="C1488" s="1"/>
      <c r="D1488" s="1"/>
      <c r="E1488" s="1"/>
      <c r="F1488" s="1"/>
      <c r="G1488" s="1"/>
      <c r="H1488" s="1"/>
      <c r="I1488" s="1"/>
      <c r="J1488" s="1"/>
      <c r="K1488" s="1"/>
      <c r="L1488" s="1"/>
      <c r="M1488" s="1"/>
      <c r="N1488" s="1"/>
      <c r="O1488" s="1"/>
      <c r="P1488" s="1"/>
    </row>
    <row r="1489" spans="1:15" ht="15.75" customHeight="1">
      <c r="A1489" s="1"/>
      <c r="B1489" s="1"/>
      <c r="C1489" s="1"/>
      <c r="D1489" s="1"/>
      <c r="E1489" s="1"/>
      <c r="F1489" s="1"/>
      <c r="G1489" s="1"/>
      <c r="H1489" s="1"/>
      <c r="I1489" s="1"/>
      <c r="J1489" s="1"/>
      <c r="K1489" s="1"/>
      <c r="O1489" s="1"/>
    </row>
    <row r="1490" spans="1:15" ht="15.75" customHeight="1">
      <c r="A1490" s="1"/>
      <c r="B1490" s="1"/>
      <c r="C1490" s="1"/>
      <c r="D1490" s="1"/>
      <c r="E1490" s="1"/>
      <c r="F1490" s="1"/>
      <c r="G1490" s="1"/>
      <c r="H1490" s="1"/>
      <c r="I1490" s="1"/>
      <c r="J1490" s="1"/>
      <c r="K1490" s="1"/>
      <c r="O1490" s="1"/>
    </row>
    <row r="1491" spans="1:15" ht="15.75" customHeight="1">
      <c r="A1491" s="1"/>
      <c r="B1491" s="1"/>
      <c r="C1491" s="1"/>
      <c r="D1491" s="1"/>
      <c r="E1491" s="1"/>
      <c r="F1491" s="1"/>
      <c r="H1491" s="1"/>
      <c r="I1491" s="1"/>
      <c r="J1491" s="1"/>
      <c r="K1491" s="1"/>
      <c r="O1491" s="1"/>
    </row>
    <row r="1492" spans="1:15" ht="15.75" customHeight="1">
      <c r="A1492" s="1"/>
      <c r="B1492" s="1"/>
      <c r="C1492" s="1"/>
      <c r="D1492" s="1"/>
      <c r="E1492" s="1"/>
      <c r="F1492" s="1"/>
      <c r="H1492" s="1"/>
      <c r="I1492" s="1"/>
      <c r="J1492" s="1"/>
      <c r="O1492" s="1"/>
    </row>
    <row r="1493" spans="1:15" ht="15.75" customHeight="1">
      <c r="A1493" s="1"/>
      <c r="B1493" s="1"/>
      <c r="C1493" s="1"/>
      <c r="D1493" s="1"/>
      <c r="E1493" s="1"/>
      <c r="F1493" s="1"/>
      <c r="H1493" s="1"/>
      <c r="I1493" s="1"/>
      <c r="J1493" s="1"/>
      <c r="O1493" s="1"/>
    </row>
    <row r="1494" spans="1:15" ht="15.75" customHeight="1">
      <c r="A1494" s="1"/>
      <c r="B1494" s="1"/>
      <c r="C1494" s="1"/>
      <c r="D1494" s="1"/>
      <c r="F1494" s="1"/>
      <c r="H1494" s="1"/>
      <c r="I1494" s="1"/>
      <c r="J1494" s="1"/>
      <c r="O1494" s="1"/>
    </row>
    <row r="1495" spans="1:15" ht="15.75" customHeight="1">
      <c r="A1495" s="1"/>
      <c r="B1495" s="1"/>
      <c r="C1495" s="1"/>
      <c r="D1495" s="1"/>
      <c r="E1495" s="1"/>
      <c r="F1495" s="1"/>
      <c r="H1495" s="1"/>
      <c r="I1495" s="1"/>
      <c r="J1495" s="1"/>
      <c r="O1495" s="1"/>
    </row>
    <row r="1496" spans="1:15" ht="15.75" customHeight="1">
      <c r="A1496" s="1"/>
      <c r="B1496" s="1"/>
      <c r="C1496" s="1"/>
      <c r="D1496" s="1"/>
      <c r="E1496" s="1"/>
      <c r="F1496" s="1"/>
      <c r="H1496" s="1"/>
      <c r="I1496" s="1"/>
      <c r="J1496" s="1"/>
      <c r="O1496" s="1"/>
    </row>
    <row r="1497" spans="1:15" ht="15.75" customHeight="1">
      <c r="A1497" s="1"/>
      <c r="B1497" s="1"/>
      <c r="C1497" s="1"/>
      <c r="D1497" s="1"/>
      <c r="E1497" s="1"/>
      <c r="F1497" s="1"/>
      <c r="H1497" s="1"/>
      <c r="I1497" s="1"/>
      <c r="J1497" s="1"/>
      <c r="O1497" s="1"/>
    </row>
    <row r="1498" spans="1:15" ht="15.75" customHeight="1">
      <c r="A1498" s="1"/>
      <c r="B1498" s="1"/>
      <c r="C1498" s="1"/>
      <c r="D1498" s="1"/>
      <c r="F1498" s="1"/>
      <c r="H1498" s="1"/>
      <c r="I1498" s="1"/>
      <c r="J1498" s="1"/>
      <c r="O1498" s="1"/>
    </row>
    <row r="1499" spans="1:15" ht="15.75" customHeight="1">
      <c r="A1499" s="1"/>
      <c r="B1499" s="1"/>
      <c r="C1499" s="1"/>
      <c r="D1499" s="1"/>
      <c r="E1499" s="1"/>
      <c r="F1499" s="1"/>
      <c r="H1499" s="1"/>
      <c r="I1499" s="1"/>
      <c r="J1499" s="1"/>
      <c r="O1499" s="1"/>
    </row>
    <row r="1500" spans="1:15" ht="15.75" customHeight="1">
      <c r="A1500" s="1"/>
      <c r="B1500" s="1"/>
      <c r="C1500" s="1"/>
      <c r="D1500" s="1"/>
      <c r="E1500" s="1"/>
      <c r="F1500" s="1"/>
      <c r="H1500" s="1"/>
      <c r="I1500" s="1"/>
      <c r="J1500" s="1"/>
      <c r="O1500" s="1"/>
    </row>
    <row r="1501" spans="1:15" ht="15.75" customHeight="1">
      <c r="A1501" s="1"/>
      <c r="B1501" s="1"/>
      <c r="C1501" s="1"/>
      <c r="D1501" s="1"/>
      <c r="F1501" s="1"/>
      <c r="H1501" s="1"/>
      <c r="I1501" s="1"/>
      <c r="J1501" s="1"/>
      <c r="K1501" s="1"/>
      <c r="O1501" s="1"/>
    </row>
    <row r="1502" spans="1:15" ht="15.75" customHeight="1">
      <c r="A1502" s="1"/>
      <c r="B1502" s="1"/>
      <c r="C1502" s="1"/>
      <c r="D1502" s="1"/>
      <c r="E1502" s="1"/>
      <c r="F1502" s="1"/>
      <c r="H1502" s="1"/>
      <c r="I1502" s="1"/>
      <c r="J1502" s="1"/>
      <c r="O1502" s="1"/>
    </row>
    <row r="1503" spans="1:15" ht="15.75" customHeight="1">
      <c r="A1503" s="1"/>
      <c r="B1503" s="1"/>
      <c r="C1503" s="1"/>
      <c r="D1503" s="1"/>
      <c r="E1503" s="1"/>
      <c r="F1503" s="1"/>
      <c r="G1503" s="1"/>
      <c r="H1503" s="1"/>
      <c r="I1503" s="1"/>
      <c r="J1503" s="1"/>
      <c r="K1503" s="1"/>
      <c r="O1503" s="1"/>
    </row>
    <row r="1504" spans="1:15" ht="15.75" customHeight="1">
      <c r="A1504" s="1"/>
      <c r="B1504" s="1"/>
      <c r="C1504" s="1"/>
      <c r="D1504" s="1"/>
      <c r="E1504" s="1"/>
      <c r="F1504" s="1"/>
      <c r="G1504" s="1"/>
      <c r="H1504" s="1"/>
      <c r="I1504" s="1"/>
      <c r="J1504" s="1"/>
      <c r="K1504" s="1"/>
    </row>
    <row r="1505" spans="1:15" ht="15.75" customHeight="1">
      <c r="A1505" s="1"/>
      <c r="B1505" s="1"/>
      <c r="C1505" s="1"/>
      <c r="D1505" s="1"/>
      <c r="E1505" s="1"/>
      <c r="F1505" s="1"/>
      <c r="H1505" s="1"/>
      <c r="I1505" s="1"/>
      <c r="K1505" s="1"/>
      <c r="O1505" s="1"/>
    </row>
    <row r="1506" spans="1:15" ht="15.75" customHeight="1">
      <c r="A1506" s="1"/>
      <c r="B1506" s="1"/>
      <c r="C1506" s="1"/>
      <c r="D1506" s="1"/>
      <c r="E1506" s="1"/>
      <c r="F1506" s="1"/>
      <c r="G1506" s="1"/>
      <c r="H1506" s="1"/>
      <c r="I1506" s="1"/>
      <c r="K1506" s="1"/>
    </row>
    <row r="1507" spans="1:15" ht="15.75" customHeight="1">
      <c r="A1507" s="1"/>
      <c r="B1507" s="1"/>
      <c r="C1507" s="1"/>
      <c r="D1507" s="1"/>
      <c r="E1507" s="1"/>
      <c r="F1507" s="1"/>
      <c r="H1507" s="1"/>
      <c r="I1507" s="1"/>
      <c r="J1507" s="1"/>
      <c r="K1507" s="1"/>
      <c r="O1507" s="1"/>
    </row>
    <row r="1508" spans="1:15" ht="15.75" customHeight="1">
      <c r="A1508" s="1"/>
      <c r="B1508" s="1"/>
      <c r="C1508" s="1"/>
      <c r="D1508" s="1"/>
      <c r="E1508" s="1"/>
      <c r="F1508" s="1"/>
      <c r="H1508" s="1"/>
      <c r="I1508" s="1"/>
      <c r="K1508" s="1"/>
    </row>
    <row r="1509" spans="1:15" ht="15.75" customHeight="1">
      <c r="A1509" s="1"/>
      <c r="B1509" s="1"/>
      <c r="C1509" s="1"/>
      <c r="D1509" s="1"/>
      <c r="E1509" s="1"/>
      <c r="F1509" s="1"/>
      <c r="G1509" s="1"/>
      <c r="H1509" s="1"/>
      <c r="I1509" s="1"/>
      <c r="J1509" s="1"/>
      <c r="K1509" s="1"/>
      <c r="O1509" s="1"/>
    </row>
    <row r="1510" spans="1:15" ht="15.75" customHeight="1">
      <c r="A1510" s="1"/>
      <c r="B1510" s="1"/>
      <c r="C1510" s="1"/>
      <c r="D1510" s="1"/>
      <c r="E1510" s="1"/>
      <c r="F1510" s="1"/>
      <c r="G1510" s="1"/>
      <c r="H1510" s="1"/>
      <c r="I1510" s="1"/>
      <c r="J1510" s="1"/>
      <c r="K1510" s="1"/>
      <c r="O1510" s="1"/>
    </row>
    <row r="1511" spans="1:15" ht="15.75" customHeight="1">
      <c r="A1511" s="1"/>
      <c r="B1511" s="1"/>
      <c r="C1511" s="1"/>
      <c r="D1511" s="1"/>
      <c r="E1511" s="1"/>
      <c r="F1511" s="1"/>
      <c r="H1511" s="1"/>
      <c r="I1511" s="1"/>
      <c r="J1511" s="1"/>
      <c r="K1511" s="1"/>
      <c r="O1511" s="1"/>
    </row>
    <row r="1512" spans="1:15" ht="15.75" customHeight="1">
      <c r="A1512" s="1"/>
      <c r="B1512" s="1"/>
      <c r="C1512" s="1"/>
      <c r="D1512" s="1"/>
      <c r="E1512" s="1"/>
      <c r="F1512" s="1"/>
      <c r="H1512" s="1"/>
      <c r="I1512" s="1"/>
      <c r="J1512" s="1"/>
      <c r="K1512" s="1"/>
      <c r="O1512" s="1"/>
    </row>
    <row r="1513" spans="1:15" ht="15.75" customHeight="1">
      <c r="A1513" s="1"/>
      <c r="B1513" s="1"/>
      <c r="C1513" s="1"/>
      <c r="D1513" s="1"/>
      <c r="E1513" s="1"/>
      <c r="F1513" s="1"/>
      <c r="H1513" s="1"/>
      <c r="I1513" s="1"/>
      <c r="K1513" s="1"/>
      <c r="O1513" s="1"/>
    </row>
    <row r="1514" spans="1:15" ht="15.75" customHeight="1">
      <c r="A1514" s="1"/>
      <c r="B1514" s="1"/>
      <c r="C1514" s="1"/>
      <c r="D1514" s="1"/>
      <c r="E1514" s="1"/>
      <c r="F1514" s="1"/>
      <c r="H1514" s="1"/>
      <c r="I1514" s="1"/>
      <c r="J1514" s="1"/>
      <c r="K1514" s="1"/>
      <c r="O1514" s="1"/>
    </row>
    <row r="1515" spans="1:15" ht="15.75" customHeight="1">
      <c r="A1515" s="1"/>
      <c r="B1515" s="1"/>
      <c r="C1515" s="1"/>
      <c r="D1515" s="1"/>
      <c r="E1515" s="1"/>
      <c r="F1515" s="1"/>
      <c r="G1515" s="1"/>
      <c r="H1515" s="1"/>
      <c r="I1515" s="1"/>
      <c r="J1515" s="1"/>
      <c r="O1515" s="1"/>
    </row>
    <row r="1516" spans="1:15" ht="15.75" customHeight="1">
      <c r="A1516" s="1"/>
      <c r="B1516" s="1"/>
      <c r="C1516" s="1"/>
      <c r="D1516" s="1"/>
      <c r="E1516" s="1"/>
      <c r="F1516" s="1"/>
      <c r="G1516" s="1"/>
      <c r="H1516" s="1"/>
      <c r="I1516" s="1"/>
      <c r="J1516" s="1"/>
      <c r="K1516" s="1"/>
    </row>
    <row r="1517" spans="1:15" ht="15.75" customHeight="1">
      <c r="A1517" s="1"/>
      <c r="B1517" s="1"/>
      <c r="C1517" s="1"/>
      <c r="D1517" s="1"/>
      <c r="E1517" s="1"/>
      <c r="F1517" s="1"/>
      <c r="G1517" s="1"/>
      <c r="H1517" s="1"/>
      <c r="I1517" s="1"/>
      <c r="J1517" s="1"/>
      <c r="K1517" s="1"/>
    </row>
    <row r="1518" spans="1:15" ht="15.75" customHeight="1">
      <c r="A1518" s="1"/>
      <c r="B1518" s="1"/>
      <c r="C1518" s="1"/>
      <c r="D1518" s="1"/>
      <c r="E1518" s="1"/>
      <c r="F1518" s="1"/>
      <c r="H1518" s="1"/>
      <c r="I1518" s="1"/>
      <c r="J1518" s="1"/>
      <c r="K1518" s="1"/>
      <c r="O1518" s="1"/>
    </row>
    <row r="1519" spans="1:15" ht="15.75" customHeight="1">
      <c r="A1519" s="1"/>
      <c r="B1519" s="1"/>
      <c r="C1519" s="1"/>
      <c r="D1519" s="1"/>
      <c r="E1519" s="1"/>
      <c r="F1519" s="1"/>
      <c r="H1519" s="1"/>
      <c r="I1519" s="1"/>
      <c r="J1519" s="1"/>
      <c r="K1519" s="1"/>
      <c r="O1519" s="1"/>
    </row>
    <row r="1520" spans="1:15" ht="15.75" customHeight="1">
      <c r="A1520" s="1"/>
      <c r="B1520" s="1"/>
      <c r="C1520" s="1"/>
      <c r="D1520" s="1"/>
      <c r="E1520" s="1"/>
      <c r="F1520" s="1"/>
      <c r="H1520" s="1"/>
      <c r="I1520" s="1"/>
      <c r="J1520" s="1"/>
      <c r="K1520" s="1"/>
      <c r="O1520" s="1"/>
    </row>
    <row r="1521" spans="1:15" ht="15.75" customHeight="1">
      <c r="A1521" s="1"/>
      <c r="B1521" s="1"/>
      <c r="C1521" s="1"/>
      <c r="D1521" s="1"/>
      <c r="E1521" s="1"/>
      <c r="F1521" s="1"/>
      <c r="H1521" s="1"/>
      <c r="I1521" s="1"/>
      <c r="J1521" s="1"/>
      <c r="K1521" s="1"/>
      <c r="O1521" s="1"/>
    </row>
    <row r="1522" spans="1:15" ht="15.75" customHeight="1">
      <c r="A1522" s="1"/>
      <c r="B1522" s="1"/>
      <c r="C1522" s="1"/>
      <c r="D1522" s="1"/>
      <c r="E1522" s="1"/>
      <c r="F1522" s="1"/>
      <c r="H1522" s="1"/>
      <c r="I1522" s="1"/>
      <c r="J1522" s="1"/>
      <c r="K1522" s="1"/>
      <c r="O1522" s="1"/>
    </row>
    <row r="1523" spans="1:15" ht="15.75" customHeight="1">
      <c r="A1523" s="1"/>
      <c r="B1523" s="1"/>
      <c r="C1523" s="1"/>
      <c r="D1523" s="1"/>
      <c r="E1523" s="1"/>
      <c r="F1523" s="1"/>
      <c r="H1523" s="1"/>
      <c r="I1523" s="1"/>
      <c r="J1523" s="1"/>
      <c r="K1523" s="1"/>
      <c r="O1523" s="1"/>
    </row>
    <row r="1524" spans="1:15" ht="15.75" customHeight="1">
      <c r="A1524" s="1"/>
      <c r="B1524" s="1"/>
      <c r="C1524" s="1"/>
      <c r="D1524" s="1"/>
      <c r="E1524" s="1"/>
      <c r="F1524" s="1"/>
      <c r="H1524" s="1"/>
      <c r="I1524" s="1"/>
      <c r="J1524" s="1"/>
      <c r="K1524" s="1"/>
      <c r="O1524" s="1"/>
    </row>
    <row r="1525" spans="1:15" ht="15.75" customHeight="1">
      <c r="A1525" s="1"/>
      <c r="B1525" s="1"/>
      <c r="C1525" s="1"/>
      <c r="D1525" s="1"/>
      <c r="E1525" s="1"/>
      <c r="F1525" s="1"/>
      <c r="H1525" s="1"/>
      <c r="I1525" s="1"/>
      <c r="J1525" s="1"/>
      <c r="K1525" s="1"/>
      <c r="O1525" s="1"/>
    </row>
    <row r="1526" spans="1:15" ht="15.75" customHeight="1">
      <c r="A1526" s="1"/>
      <c r="B1526" s="1"/>
      <c r="C1526" s="1"/>
      <c r="D1526" s="1"/>
      <c r="E1526" s="1"/>
      <c r="F1526" s="1"/>
      <c r="H1526" s="1"/>
      <c r="I1526" s="1"/>
      <c r="J1526" s="1"/>
      <c r="K1526" s="1"/>
      <c r="O1526" s="1"/>
    </row>
    <row r="1527" spans="1:15" ht="15.75" customHeight="1">
      <c r="A1527" s="1"/>
      <c r="B1527" s="1"/>
      <c r="C1527" s="1"/>
      <c r="D1527" s="1"/>
      <c r="E1527" s="1"/>
      <c r="F1527" s="1"/>
      <c r="H1527" s="1"/>
      <c r="I1527" s="1"/>
      <c r="J1527" s="1"/>
      <c r="K1527" s="1"/>
      <c r="O1527" s="1"/>
    </row>
    <row r="1528" spans="1:15" ht="15.75" customHeight="1">
      <c r="A1528" s="1"/>
      <c r="B1528" s="1"/>
      <c r="C1528" s="1"/>
      <c r="D1528" s="1"/>
      <c r="E1528" s="1"/>
      <c r="F1528" s="1"/>
      <c r="H1528" s="1"/>
      <c r="I1528" s="1"/>
      <c r="J1528" s="1"/>
      <c r="K1528" s="1"/>
      <c r="O1528" s="1"/>
    </row>
    <row r="1529" spans="1:15" ht="15.75" customHeight="1">
      <c r="A1529" s="1"/>
      <c r="B1529" s="1"/>
      <c r="C1529" s="1"/>
      <c r="D1529" s="1"/>
      <c r="E1529" s="1"/>
      <c r="F1529" s="1"/>
      <c r="H1529" s="1"/>
      <c r="I1529" s="1"/>
      <c r="J1529" s="1"/>
      <c r="K1529" s="1"/>
      <c r="O1529" s="1"/>
    </row>
    <row r="1530" spans="1:15" ht="15.75" customHeight="1">
      <c r="A1530" s="1"/>
      <c r="B1530" s="1"/>
      <c r="C1530" s="1"/>
      <c r="D1530" s="1"/>
      <c r="E1530" s="1"/>
      <c r="F1530" s="1"/>
      <c r="H1530" s="1"/>
      <c r="I1530" s="1"/>
      <c r="J1530" s="1"/>
      <c r="K1530" s="1"/>
      <c r="O1530" s="1"/>
    </row>
    <row r="1531" spans="1:15" ht="15.75" customHeight="1">
      <c r="A1531" s="1"/>
      <c r="B1531" s="1"/>
      <c r="C1531" s="1"/>
      <c r="D1531" s="1"/>
      <c r="E1531" s="1"/>
      <c r="F1531" s="1"/>
      <c r="H1531" s="1"/>
      <c r="I1531" s="1"/>
      <c r="J1531" s="1"/>
      <c r="K1531" s="1"/>
      <c r="O1531" s="1"/>
    </row>
    <row r="1532" spans="1:15" ht="15.75" customHeight="1">
      <c r="A1532" s="1"/>
      <c r="B1532" s="1"/>
      <c r="C1532" s="1"/>
      <c r="D1532" s="1"/>
      <c r="E1532" s="1"/>
      <c r="F1532" s="1"/>
      <c r="H1532" s="1"/>
      <c r="I1532" s="1"/>
      <c r="J1532" s="1"/>
      <c r="K1532" s="1"/>
      <c r="O1532" s="1"/>
    </row>
    <row r="1533" spans="1:15" ht="15.75" customHeight="1">
      <c r="A1533" s="1"/>
      <c r="B1533" s="1"/>
      <c r="C1533" s="1"/>
      <c r="D1533" s="1"/>
      <c r="E1533" s="1"/>
      <c r="F1533" s="1"/>
      <c r="H1533" s="1"/>
      <c r="I1533" s="1"/>
      <c r="J1533" s="1"/>
      <c r="K1533" s="1"/>
      <c r="O1533" s="1"/>
    </row>
    <row r="1534" spans="1:15" ht="15.75" customHeight="1">
      <c r="A1534" s="1"/>
      <c r="B1534" s="1"/>
      <c r="C1534" s="1"/>
      <c r="D1534" s="1"/>
      <c r="E1534" s="1"/>
      <c r="F1534" s="1"/>
      <c r="H1534" s="1"/>
      <c r="I1534" s="1"/>
      <c r="J1534" s="1"/>
      <c r="K1534" s="1"/>
      <c r="O1534" s="1"/>
    </row>
    <row r="1535" spans="1:15" ht="15.75" customHeight="1">
      <c r="A1535" s="1"/>
      <c r="B1535" s="1"/>
      <c r="C1535" s="1"/>
      <c r="D1535" s="1"/>
      <c r="E1535" s="1"/>
      <c r="F1535" s="1"/>
      <c r="H1535" s="1"/>
      <c r="I1535" s="1"/>
      <c r="J1535" s="1"/>
      <c r="K1535" s="1"/>
      <c r="O1535" s="1"/>
    </row>
    <row r="1536" spans="1:15" ht="15.75" customHeight="1">
      <c r="A1536" s="1"/>
      <c r="B1536" s="1"/>
      <c r="C1536" s="1"/>
      <c r="D1536" s="1"/>
      <c r="E1536" s="1"/>
      <c r="F1536" s="1"/>
      <c r="H1536" s="1"/>
      <c r="I1536" s="1"/>
      <c r="J1536" s="1"/>
      <c r="O1536" s="1"/>
    </row>
    <row r="1537" spans="1:16" ht="15.75" customHeight="1">
      <c r="A1537" s="1"/>
      <c r="B1537" s="1"/>
      <c r="C1537" s="1"/>
      <c r="D1537" s="1"/>
      <c r="E1537" s="1"/>
      <c r="F1537" s="1"/>
      <c r="H1537" s="1"/>
      <c r="I1537" s="1"/>
      <c r="O1537" s="1"/>
    </row>
    <row r="1538" spans="1:16" ht="15.75" customHeight="1">
      <c r="A1538" s="1"/>
      <c r="B1538" s="1"/>
      <c r="C1538" s="1"/>
      <c r="D1538" s="1"/>
      <c r="E1538" s="1"/>
      <c r="F1538" s="1"/>
      <c r="H1538" s="1"/>
      <c r="I1538" s="1"/>
      <c r="J1538" s="1"/>
      <c r="K1538" s="1"/>
      <c r="O1538" s="1"/>
    </row>
    <row r="1539" spans="1:16" ht="15.75" customHeight="1">
      <c r="A1539" s="1"/>
      <c r="B1539" s="1"/>
      <c r="C1539" s="1"/>
      <c r="D1539" s="1"/>
      <c r="E1539" s="1"/>
      <c r="F1539" s="1"/>
      <c r="G1539" s="1"/>
      <c r="H1539" s="1"/>
      <c r="I1539" s="1"/>
      <c r="J1539" s="1"/>
      <c r="K1539" s="1"/>
      <c r="O1539" s="1"/>
    </row>
    <row r="1540" spans="1:16" ht="15.75" customHeight="1">
      <c r="A1540" s="1"/>
      <c r="B1540" s="1"/>
      <c r="C1540" s="1"/>
      <c r="D1540" s="1"/>
      <c r="E1540" s="1"/>
      <c r="F1540" s="1"/>
      <c r="G1540" s="1"/>
      <c r="H1540" s="1"/>
      <c r="I1540" s="1"/>
      <c r="J1540" s="1"/>
      <c r="K1540" s="1"/>
      <c r="L1540" s="1"/>
      <c r="M1540" s="1"/>
      <c r="N1540" s="1"/>
      <c r="O1540" s="1"/>
      <c r="P1540" s="5"/>
    </row>
    <row r="1541" spans="1:16" ht="15.75" customHeight="1">
      <c r="A1541" s="1"/>
      <c r="B1541" s="1"/>
      <c r="C1541" s="1"/>
      <c r="D1541" s="1"/>
      <c r="E1541" s="1"/>
      <c r="F1541" s="1"/>
      <c r="H1541" s="1"/>
      <c r="I1541" s="1"/>
      <c r="J1541" s="1"/>
      <c r="O1541" s="1"/>
    </row>
    <row r="1542" spans="1:16" ht="15.75" customHeight="1">
      <c r="A1542" s="1"/>
      <c r="B1542" s="1"/>
      <c r="C1542" s="1"/>
      <c r="D1542" s="1"/>
      <c r="E1542" s="1"/>
      <c r="F1542" s="1"/>
      <c r="H1542" s="1"/>
      <c r="I1542" s="1"/>
      <c r="J1542" s="1"/>
      <c r="K1542" s="1"/>
      <c r="O1542" s="1"/>
    </row>
    <row r="1543" spans="1:16" ht="15.75" customHeight="1">
      <c r="A1543" s="1"/>
      <c r="B1543" s="1"/>
      <c r="C1543" s="1"/>
      <c r="D1543" s="1"/>
      <c r="E1543" s="1"/>
      <c r="F1543" s="1"/>
      <c r="H1543" s="1"/>
      <c r="I1543" s="1"/>
      <c r="J1543" s="1"/>
      <c r="K1543" s="1"/>
      <c r="O1543" s="1"/>
    </row>
    <row r="1544" spans="1:16" ht="15.75" customHeight="1">
      <c r="A1544" s="1"/>
      <c r="B1544" s="1"/>
      <c r="C1544" s="1"/>
      <c r="D1544" s="1"/>
      <c r="E1544" s="1"/>
      <c r="F1544" s="1"/>
      <c r="H1544" s="1"/>
      <c r="I1544" s="1"/>
      <c r="J1544" s="1"/>
      <c r="K1544" s="1"/>
      <c r="O1544" s="1"/>
    </row>
    <row r="1545" spans="1:16" ht="15.75" customHeight="1">
      <c r="A1545" s="1"/>
      <c r="B1545" s="1"/>
      <c r="C1545" s="1"/>
      <c r="D1545" s="1"/>
      <c r="E1545" s="1"/>
      <c r="F1545" s="1"/>
      <c r="H1545" s="1"/>
      <c r="I1545" s="1"/>
      <c r="J1545" s="1"/>
      <c r="K1545" s="1"/>
      <c r="O1545" s="1"/>
    </row>
    <row r="1546" spans="1:16" ht="15.75" customHeight="1">
      <c r="A1546" s="1"/>
      <c r="B1546" s="1"/>
      <c r="C1546" s="1"/>
      <c r="D1546" s="1"/>
      <c r="E1546" s="1"/>
      <c r="F1546" s="1"/>
      <c r="G1546" s="1"/>
      <c r="H1546" s="1"/>
      <c r="I1546" s="1"/>
      <c r="J1546" s="1"/>
      <c r="K1546" s="1"/>
      <c r="L1546" s="1"/>
      <c r="M1546" s="1"/>
      <c r="N1546" s="1"/>
      <c r="O1546" s="1"/>
      <c r="P1546" s="5"/>
    </row>
    <row r="1547" spans="1:16" ht="15.75" customHeight="1">
      <c r="A1547" s="1"/>
      <c r="B1547" s="1"/>
      <c r="C1547" s="1"/>
      <c r="D1547" s="1"/>
      <c r="E1547" s="1"/>
      <c r="F1547" s="1"/>
      <c r="G1547" s="1"/>
      <c r="H1547" s="1"/>
      <c r="I1547" s="1"/>
      <c r="J1547" s="1"/>
      <c r="K1547" s="1"/>
      <c r="L1547" s="1"/>
      <c r="M1547" s="1"/>
      <c r="N1547" s="1"/>
      <c r="O1547" s="1"/>
      <c r="P1547" s="5"/>
    </row>
    <row r="1548" spans="1:16" ht="15.75" customHeight="1">
      <c r="A1548" s="1"/>
      <c r="B1548" s="1"/>
      <c r="C1548" s="1"/>
      <c r="D1548" s="1"/>
      <c r="E1548" s="1"/>
      <c r="F1548" s="1"/>
      <c r="G1548" s="1"/>
      <c r="H1548" s="1"/>
      <c r="I1548" s="1"/>
      <c r="J1548" s="1"/>
      <c r="K1548" s="1"/>
      <c r="L1548" s="1"/>
      <c r="M1548" s="1"/>
      <c r="N1548" s="1"/>
      <c r="O1548" s="1"/>
      <c r="P1548" s="5"/>
    </row>
    <row r="1549" spans="1:16" ht="15.75" customHeight="1">
      <c r="A1549" s="1"/>
      <c r="B1549" s="1"/>
      <c r="C1549" s="1"/>
      <c r="D1549" s="1"/>
      <c r="E1549" s="1"/>
      <c r="F1549" s="1"/>
      <c r="H1549" s="1"/>
      <c r="I1549" s="1"/>
      <c r="J1549" s="1"/>
      <c r="K1549" s="1"/>
      <c r="O1549" s="1"/>
    </row>
    <row r="1550" spans="1:16" ht="15.75" customHeight="1">
      <c r="A1550" s="1"/>
      <c r="B1550" s="1"/>
      <c r="C1550" s="2"/>
      <c r="D1550" s="1"/>
      <c r="E1550" s="1"/>
      <c r="F1550" s="1"/>
      <c r="H1550" s="1"/>
      <c r="I1550" s="1"/>
      <c r="J1550" s="1"/>
      <c r="K1550" s="1"/>
      <c r="O1550" s="1"/>
    </row>
    <row r="1551" spans="1:16" ht="15.75" customHeight="1">
      <c r="A1551" s="1"/>
      <c r="B1551" s="1"/>
      <c r="C1551" s="1"/>
      <c r="D1551" s="1"/>
      <c r="E1551" s="1"/>
      <c r="F1551" s="1"/>
      <c r="G1551" s="1"/>
      <c r="H1551" s="1"/>
      <c r="I1551" s="1"/>
      <c r="J1551" s="1"/>
      <c r="K1551" s="1"/>
      <c r="O1551" s="1"/>
    </row>
    <row r="1552" spans="1:16" ht="15.75" customHeight="1">
      <c r="A1552" s="1"/>
      <c r="B1552" s="1"/>
      <c r="C1552" s="1"/>
      <c r="D1552" s="1"/>
      <c r="E1552" s="1"/>
      <c r="F1552" s="1"/>
      <c r="H1552" s="1"/>
      <c r="I1552" s="1"/>
      <c r="J1552" s="1"/>
      <c r="K1552" s="1"/>
      <c r="O1552" s="1"/>
    </row>
    <row r="1553" spans="1:16" ht="15.75" customHeight="1">
      <c r="A1553" s="1"/>
      <c r="B1553" s="1"/>
      <c r="C1553" s="1"/>
      <c r="D1553" s="1"/>
      <c r="E1553" s="1"/>
      <c r="F1553" s="1"/>
      <c r="H1553" s="1"/>
      <c r="I1553" s="1"/>
      <c r="J1553" s="1"/>
      <c r="K1553" s="1"/>
    </row>
    <row r="1554" spans="1:16" ht="15.75" customHeight="1">
      <c r="A1554" s="1"/>
      <c r="B1554" s="1"/>
      <c r="C1554" s="1"/>
      <c r="D1554" s="1"/>
      <c r="E1554" s="1"/>
      <c r="F1554" s="1"/>
      <c r="G1554" s="1"/>
      <c r="H1554" s="1"/>
      <c r="I1554" s="1"/>
      <c r="J1554" s="1"/>
      <c r="O1554" s="1"/>
    </row>
    <row r="1555" spans="1:16" ht="15.75" customHeight="1">
      <c r="A1555" s="1"/>
      <c r="B1555" s="1"/>
      <c r="C1555" s="1"/>
      <c r="D1555" s="1"/>
      <c r="E1555" s="1"/>
      <c r="F1555" s="1"/>
      <c r="G1555" s="1"/>
      <c r="H1555" s="1"/>
      <c r="I1555" s="1"/>
      <c r="J1555" s="1"/>
      <c r="K1555" s="1"/>
      <c r="O1555" s="1"/>
    </row>
    <row r="1556" spans="1:16" ht="15.75" customHeight="1">
      <c r="A1556" s="1"/>
      <c r="B1556" s="1"/>
      <c r="C1556" s="1"/>
      <c r="D1556" s="1"/>
      <c r="E1556" s="1"/>
      <c r="F1556" s="1"/>
      <c r="G1556" s="1"/>
      <c r="H1556" s="1"/>
      <c r="I1556" s="1"/>
      <c r="J1556" s="1"/>
      <c r="O1556" s="1"/>
    </row>
    <row r="1557" spans="1:16" ht="15.75" customHeight="1">
      <c r="A1557" s="1"/>
      <c r="B1557" s="1"/>
      <c r="C1557" s="1"/>
      <c r="D1557" s="1"/>
      <c r="E1557" s="1"/>
      <c r="F1557" s="1"/>
      <c r="H1557" s="1"/>
      <c r="I1557" s="1"/>
      <c r="J1557" s="1"/>
      <c r="O1557" s="1"/>
    </row>
    <row r="1558" spans="1:16" ht="15.75" customHeight="1">
      <c r="A1558" s="1"/>
      <c r="B1558" s="1"/>
      <c r="C1558" s="1"/>
      <c r="D1558" s="1"/>
      <c r="E1558" s="1"/>
      <c r="F1558" s="1"/>
      <c r="G1558" s="1"/>
      <c r="H1558" s="1"/>
      <c r="I1558" s="1"/>
      <c r="J1558" s="1"/>
      <c r="O1558" s="1"/>
    </row>
    <row r="1559" spans="1:16" ht="15.75" customHeight="1">
      <c r="A1559" s="1"/>
      <c r="B1559" s="1"/>
      <c r="C1559" s="1"/>
      <c r="D1559" s="1"/>
      <c r="E1559" s="1"/>
      <c r="F1559" s="1"/>
      <c r="G1559" s="1"/>
      <c r="H1559" s="1"/>
      <c r="I1559" s="1"/>
      <c r="J1559" s="1"/>
      <c r="K1559" s="1"/>
    </row>
    <row r="1560" spans="1:16" ht="15.75" customHeight="1">
      <c r="A1560" s="1"/>
      <c r="B1560" s="1"/>
      <c r="C1560" s="1"/>
      <c r="D1560" s="1"/>
      <c r="E1560" s="1"/>
      <c r="F1560" s="1"/>
      <c r="G1560" s="1"/>
      <c r="H1560" s="1"/>
      <c r="I1560" s="1"/>
      <c r="J1560" s="1"/>
      <c r="K1560" s="1"/>
    </row>
    <row r="1561" spans="1:16" ht="15.75" customHeight="1">
      <c r="A1561" s="1"/>
      <c r="B1561" s="1"/>
      <c r="C1561" s="1"/>
      <c r="D1561" s="1"/>
      <c r="E1561" s="1"/>
      <c r="F1561" s="1"/>
      <c r="G1561" s="1"/>
      <c r="H1561" s="1"/>
      <c r="I1561" s="1"/>
      <c r="J1561" s="1"/>
      <c r="K1561" s="1"/>
      <c r="O1561" s="1"/>
    </row>
    <row r="1562" spans="1:16" ht="15.75" customHeight="1">
      <c r="A1562" s="1"/>
      <c r="B1562" s="1"/>
      <c r="C1562" s="1"/>
      <c r="D1562" s="1"/>
      <c r="E1562" s="1"/>
      <c r="F1562" s="1"/>
      <c r="H1562" s="1"/>
      <c r="I1562" s="1"/>
      <c r="J1562" s="1"/>
      <c r="K1562" s="1"/>
    </row>
    <row r="1563" spans="1:16" ht="15.75" customHeight="1">
      <c r="A1563" s="1"/>
      <c r="B1563" s="1"/>
      <c r="C1563" s="1"/>
      <c r="D1563" s="1"/>
      <c r="E1563" s="1"/>
      <c r="F1563" s="1"/>
      <c r="H1563" s="1"/>
      <c r="I1563" s="1"/>
      <c r="J1563" s="1"/>
      <c r="O1563" s="1"/>
    </row>
    <row r="1564" spans="1:16" ht="15.75" customHeight="1">
      <c r="A1564" s="1"/>
      <c r="B1564" s="1"/>
      <c r="C1564" s="1"/>
      <c r="D1564" s="1"/>
      <c r="E1564" s="1"/>
      <c r="F1564" s="1"/>
      <c r="G1564" s="1"/>
      <c r="H1564" s="1"/>
      <c r="I1564" s="1"/>
      <c r="J1564" s="1"/>
      <c r="K1564" s="1"/>
    </row>
    <row r="1565" spans="1:16" ht="15.75" customHeight="1">
      <c r="A1565" s="1"/>
      <c r="B1565" s="1"/>
      <c r="C1565" s="1"/>
      <c r="D1565" s="1"/>
      <c r="E1565" s="1"/>
      <c r="F1565" s="1"/>
      <c r="G1565" s="1"/>
      <c r="H1565" s="1"/>
      <c r="I1565" s="1"/>
      <c r="J1565" s="1"/>
      <c r="K1565" s="1"/>
      <c r="O1565" s="1"/>
    </row>
    <row r="1566" spans="1:16" ht="15.75" customHeight="1">
      <c r="A1566" s="1"/>
      <c r="B1566" s="1"/>
      <c r="C1566" s="1"/>
      <c r="D1566" s="1"/>
      <c r="E1566" s="1"/>
      <c r="F1566" s="1"/>
      <c r="H1566" s="1"/>
      <c r="I1566" s="1"/>
      <c r="J1566" s="1"/>
      <c r="O1566" s="1"/>
    </row>
    <row r="1567" spans="1:16" ht="15.75" customHeight="1">
      <c r="A1567" s="1"/>
      <c r="B1567" s="1"/>
      <c r="C1567" s="1"/>
      <c r="D1567" s="1"/>
      <c r="E1567" s="1"/>
      <c r="F1567" s="1"/>
      <c r="G1567" s="1"/>
      <c r="H1567" s="1"/>
      <c r="I1567" s="1"/>
      <c r="J1567" s="1"/>
      <c r="K1567" s="1"/>
      <c r="L1567" s="1"/>
      <c r="M1567" s="1"/>
      <c r="N1567" s="1"/>
      <c r="O1567" s="1"/>
      <c r="P1567" s="5"/>
    </row>
    <row r="1568" spans="1:16" ht="15.75" customHeight="1">
      <c r="A1568" s="1"/>
      <c r="B1568" s="1"/>
      <c r="C1568" s="1"/>
      <c r="D1568" s="1"/>
      <c r="E1568" s="1"/>
      <c r="F1568" s="1"/>
      <c r="H1568" s="1"/>
      <c r="I1568" s="1"/>
      <c r="J1568" s="1"/>
      <c r="O1568" s="1"/>
    </row>
    <row r="1569" spans="1:15" ht="15.75" customHeight="1">
      <c r="A1569" s="1"/>
      <c r="B1569" s="1"/>
      <c r="C1569" s="1"/>
      <c r="D1569" s="1"/>
      <c r="E1569" s="1"/>
      <c r="F1569" s="1"/>
      <c r="H1569" s="1"/>
      <c r="I1569" s="1"/>
      <c r="J1569" s="1"/>
      <c r="K1569" s="1"/>
    </row>
    <row r="1570" spans="1:15" ht="15.75" customHeight="1">
      <c r="A1570" s="1"/>
      <c r="B1570" s="1"/>
      <c r="C1570" s="1"/>
      <c r="D1570" s="1"/>
      <c r="E1570" s="1"/>
      <c r="F1570" s="1"/>
      <c r="G1570" s="1"/>
      <c r="H1570" s="1"/>
      <c r="I1570" s="1"/>
      <c r="K1570" s="1"/>
      <c r="O1570" s="1"/>
    </row>
    <row r="1571" spans="1:15" ht="15.75" customHeight="1">
      <c r="A1571" s="1"/>
      <c r="B1571" s="1"/>
      <c r="C1571" s="1"/>
      <c r="D1571" s="1"/>
      <c r="E1571" s="1"/>
      <c r="F1571" s="1"/>
      <c r="G1571" s="1"/>
      <c r="H1571" s="1"/>
      <c r="I1571" s="1"/>
      <c r="J1571" s="1"/>
      <c r="K1571" s="1"/>
      <c r="O1571" s="1"/>
    </row>
    <row r="1572" spans="1:15" ht="15.75" customHeight="1">
      <c r="A1572" s="1"/>
      <c r="B1572" s="1"/>
      <c r="C1572" s="1"/>
      <c r="D1572" s="1"/>
      <c r="E1572" s="1"/>
      <c r="F1572" s="1"/>
      <c r="G1572" s="1"/>
      <c r="H1572" s="1"/>
      <c r="I1572" s="1"/>
      <c r="J1572" s="1"/>
      <c r="K1572" s="1"/>
    </row>
    <row r="1573" spans="1:15" ht="15.75" customHeight="1">
      <c r="A1573" s="1"/>
      <c r="B1573" s="1"/>
      <c r="C1573" s="1"/>
      <c r="D1573" s="1"/>
      <c r="E1573" s="1"/>
      <c r="F1573" s="1"/>
      <c r="G1573" s="1"/>
      <c r="H1573" s="1"/>
      <c r="I1573" s="1"/>
      <c r="K1573" s="1"/>
      <c r="O1573" s="1"/>
    </row>
    <row r="1574" spans="1:15" ht="15.75" customHeight="1">
      <c r="A1574" s="1"/>
      <c r="B1574" s="1"/>
      <c r="C1574" s="1"/>
      <c r="D1574" s="1"/>
      <c r="E1574" s="1"/>
      <c r="F1574" s="1"/>
      <c r="H1574" s="1"/>
      <c r="I1574" s="1"/>
      <c r="J1574" s="1"/>
      <c r="O1574" s="1"/>
    </row>
    <row r="1575" spans="1:15" ht="15.75" customHeight="1">
      <c r="A1575" s="1"/>
      <c r="B1575" s="1"/>
      <c r="C1575" s="1"/>
      <c r="D1575" s="1"/>
      <c r="E1575" s="1"/>
      <c r="F1575" s="1"/>
      <c r="G1575" s="1"/>
      <c r="H1575" s="1"/>
      <c r="I1575" s="1"/>
      <c r="J1575" s="1"/>
      <c r="K1575" s="1"/>
    </row>
    <row r="1576" spans="1:15" ht="15.75" customHeight="1">
      <c r="A1576" s="1"/>
      <c r="B1576" s="1"/>
      <c r="C1576" s="1"/>
      <c r="D1576" s="1"/>
      <c r="E1576" s="1"/>
      <c r="F1576" s="1"/>
      <c r="H1576" s="1"/>
      <c r="I1576" s="1"/>
      <c r="J1576" s="1"/>
      <c r="K1576" s="1"/>
      <c r="O1576" s="1"/>
    </row>
    <row r="1577" spans="1:15" ht="15.75" customHeight="1">
      <c r="A1577" s="1"/>
      <c r="B1577" s="1"/>
      <c r="C1577" s="1"/>
      <c r="D1577" s="1"/>
      <c r="E1577" s="1"/>
      <c r="F1577" s="1"/>
      <c r="H1577" s="1"/>
      <c r="I1577" s="1"/>
      <c r="J1577" s="1"/>
      <c r="K1577" s="1"/>
      <c r="O1577" s="1"/>
    </row>
    <row r="1578" spans="1:15" ht="15.75" customHeight="1">
      <c r="A1578" s="1"/>
      <c r="B1578" s="1"/>
      <c r="C1578" s="1"/>
      <c r="D1578" s="1"/>
      <c r="E1578" s="1"/>
      <c r="F1578" s="1"/>
      <c r="G1578" s="1"/>
      <c r="H1578" s="1"/>
      <c r="I1578" s="1"/>
      <c r="J1578" s="1"/>
      <c r="O1578" s="1"/>
    </row>
    <row r="1579" spans="1:15" ht="15.75" customHeight="1">
      <c r="A1579" s="1"/>
      <c r="B1579" s="1"/>
      <c r="C1579" s="1"/>
      <c r="D1579" s="1"/>
      <c r="E1579" s="1"/>
      <c r="F1579" s="1"/>
      <c r="G1579" s="1"/>
      <c r="H1579" s="1"/>
      <c r="I1579" s="1"/>
      <c r="J1579" s="1"/>
      <c r="K1579" s="1"/>
    </row>
    <row r="1580" spans="1:15" ht="15.75" customHeight="1">
      <c r="A1580" s="1"/>
      <c r="B1580" s="1"/>
      <c r="C1580" s="1"/>
      <c r="D1580" s="1"/>
      <c r="E1580" s="1"/>
      <c r="F1580" s="1"/>
      <c r="G1580" s="1"/>
      <c r="H1580" s="1"/>
      <c r="I1580" s="1"/>
      <c r="J1580" s="1"/>
      <c r="K1580" s="1"/>
      <c r="O1580" s="1"/>
    </row>
    <row r="1581" spans="1:15" ht="15.75" customHeight="1">
      <c r="A1581" s="1"/>
      <c r="B1581" s="1"/>
      <c r="C1581" s="1"/>
      <c r="D1581" s="1"/>
      <c r="E1581" s="1"/>
      <c r="F1581" s="1"/>
      <c r="H1581" s="1"/>
      <c r="I1581" s="1"/>
      <c r="J1581" s="1"/>
      <c r="K1581" s="1"/>
      <c r="O1581" s="1"/>
    </row>
    <row r="1582" spans="1:15" ht="15.75" customHeight="1">
      <c r="A1582" s="1"/>
      <c r="B1582" s="1"/>
      <c r="C1582" s="1"/>
      <c r="D1582" s="1"/>
      <c r="E1582" s="1"/>
      <c r="F1582" s="1"/>
      <c r="H1582" s="1"/>
      <c r="I1582" s="1"/>
      <c r="J1582" s="1"/>
      <c r="O1582" s="1"/>
    </row>
    <row r="1583" spans="1:15" ht="15.75" customHeight="1">
      <c r="A1583" s="1"/>
      <c r="B1583" s="1"/>
      <c r="C1583" s="1"/>
      <c r="D1583" s="1"/>
      <c r="E1583" s="1"/>
      <c r="F1583" s="1"/>
      <c r="H1583" s="1"/>
      <c r="I1583" s="1"/>
      <c r="J1583" s="1"/>
      <c r="K1583" s="1"/>
      <c r="O1583" s="1"/>
    </row>
    <row r="1584" spans="1:15" ht="15.75" customHeight="1">
      <c r="A1584" s="1"/>
      <c r="B1584" s="1"/>
      <c r="C1584" s="1"/>
      <c r="D1584" s="1"/>
      <c r="E1584" s="1"/>
      <c r="F1584" s="1"/>
      <c r="G1584" s="1"/>
      <c r="H1584" s="1"/>
      <c r="I1584" s="1"/>
      <c r="J1584" s="1"/>
      <c r="O1584" s="1"/>
    </row>
    <row r="1585" spans="1:16" ht="15.75" customHeight="1">
      <c r="A1585" s="1"/>
      <c r="B1585" s="1"/>
      <c r="C1585" s="1"/>
      <c r="D1585" s="1"/>
      <c r="E1585" s="1"/>
      <c r="F1585" s="1"/>
      <c r="H1585" s="1"/>
      <c r="I1585" s="1"/>
      <c r="J1585" s="1"/>
      <c r="K1585" s="1"/>
      <c r="O1585" s="1"/>
    </row>
    <row r="1586" spans="1:16" ht="15.75" customHeight="1">
      <c r="A1586" s="1"/>
      <c r="B1586" s="1"/>
      <c r="C1586" s="1"/>
      <c r="D1586" s="1"/>
      <c r="E1586" s="1"/>
      <c r="F1586" s="1"/>
      <c r="H1586" s="1"/>
      <c r="I1586" s="1"/>
      <c r="J1586" s="1"/>
      <c r="K1586" s="1"/>
      <c r="O1586" s="1"/>
    </row>
    <row r="1587" spans="1:16" ht="15.75" customHeight="1">
      <c r="A1587" s="1"/>
      <c r="B1587" s="1"/>
      <c r="C1587" s="1"/>
      <c r="D1587" s="1"/>
      <c r="E1587" s="1"/>
      <c r="F1587" s="1"/>
      <c r="H1587" s="1"/>
      <c r="I1587" s="1"/>
      <c r="J1587" s="1"/>
      <c r="K1587" s="1"/>
      <c r="O1587" s="1"/>
    </row>
    <row r="1588" spans="1:16" ht="15.75" customHeight="1">
      <c r="A1588" s="1"/>
      <c r="B1588" s="1"/>
      <c r="C1588" s="1"/>
      <c r="D1588" s="1"/>
      <c r="E1588" s="1"/>
      <c r="F1588" s="1"/>
      <c r="G1588" s="1"/>
      <c r="H1588" s="1"/>
      <c r="I1588" s="1"/>
      <c r="K1588" s="1"/>
    </row>
    <row r="1589" spans="1:16" ht="15.75" customHeight="1">
      <c r="A1589" s="1"/>
      <c r="B1589" s="1"/>
      <c r="C1589" s="1"/>
      <c r="D1589" s="1"/>
      <c r="E1589" s="1"/>
      <c r="F1589" s="1"/>
      <c r="G1589" s="1"/>
      <c r="H1589" s="1"/>
      <c r="I1589" s="1"/>
      <c r="J1589" s="1"/>
      <c r="O1589" s="1"/>
    </row>
    <row r="1590" spans="1:16" ht="15.75" customHeight="1">
      <c r="A1590" s="1"/>
      <c r="B1590" s="1"/>
      <c r="C1590" s="1"/>
      <c r="D1590" s="1"/>
      <c r="E1590" s="1"/>
      <c r="F1590" s="1"/>
      <c r="H1590" s="1"/>
      <c r="I1590" s="1"/>
      <c r="J1590" s="1"/>
      <c r="O1590" s="1"/>
    </row>
    <row r="1591" spans="1:16" ht="15.75" customHeight="1">
      <c r="A1591" s="1"/>
      <c r="B1591" s="1"/>
      <c r="C1591" s="1"/>
      <c r="D1591" s="1"/>
      <c r="E1591" s="1"/>
      <c r="F1591" s="1"/>
      <c r="H1591" s="1"/>
      <c r="I1591" s="1"/>
      <c r="O1591" s="1"/>
    </row>
    <row r="1592" spans="1:16" ht="15.75" customHeight="1">
      <c r="A1592" s="1"/>
      <c r="B1592" s="1"/>
      <c r="C1592" s="1"/>
      <c r="D1592" s="1"/>
      <c r="E1592" s="1"/>
      <c r="F1592" s="1"/>
      <c r="H1592" s="1"/>
      <c r="I1592" s="1"/>
      <c r="J1592" s="1"/>
      <c r="K1592" s="1"/>
      <c r="O1592" s="1"/>
    </row>
    <row r="1593" spans="1:16" ht="15.75" customHeight="1">
      <c r="A1593" s="1"/>
      <c r="B1593" s="1"/>
      <c r="C1593" s="1"/>
      <c r="D1593" s="1"/>
      <c r="E1593" s="1"/>
      <c r="F1593" s="1"/>
      <c r="G1593" s="1"/>
      <c r="H1593" s="1"/>
      <c r="I1593" s="1"/>
      <c r="J1593" s="1"/>
      <c r="K1593" s="1"/>
      <c r="L1593" s="1"/>
      <c r="M1593" s="1"/>
      <c r="N1593" s="1"/>
      <c r="O1593" s="1"/>
      <c r="P1593" s="5"/>
    </row>
    <row r="1594" spans="1:16" ht="15.75" customHeight="1">
      <c r="A1594" s="1"/>
      <c r="B1594" s="1"/>
      <c r="C1594" s="1"/>
      <c r="D1594" s="1"/>
      <c r="E1594" s="1"/>
      <c r="F1594" s="1"/>
      <c r="G1594" s="1"/>
      <c r="H1594" s="1"/>
      <c r="I1594" s="1"/>
      <c r="J1594" s="1"/>
      <c r="K1594" s="1"/>
      <c r="L1594" s="1"/>
      <c r="M1594" s="1"/>
      <c r="N1594" s="1"/>
      <c r="O1594" s="1"/>
      <c r="P1594" s="5"/>
    </row>
    <row r="1595" spans="1:16" ht="15.75" customHeight="1">
      <c r="A1595" s="1"/>
      <c r="B1595" s="1"/>
      <c r="C1595" s="1"/>
      <c r="D1595" s="1"/>
      <c r="E1595" s="1"/>
      <c r="F1595" s="1"/>
      <c r="H1595" s="1"/>
      <c r="I1595" s="1"/>
      <c r="J1595" s="1"/>
      <c r="K1595" s="1"/>
      <c r="O1595" s="1"/>
    </row>
    <row r="1596" spans="1:16" ht="15.75" customHeight="1">
      <c r="A1596" s="1"/>
      <c r="B1596" s="1"/>
      <c r="C1596" s="1"/>
      <c r="D1596" s="1"/>
      <c r="E1596" s="1"/>
      <c r="F1596" s="1"/>
      <c r="H1596" s="1"/>
      <c r="I1596" s="1"/>
      <c r="J1596" s="1"/>
      <c r="K1596" s="1"/>
      <c r="O1596" s="1"/>
    </row>
    <row r="1597" spans="1:16" ht="15.75" customHeight="1">
      <c r="A1597" s="1"/>
      <c r="B1597" s="1"/>
      <c r="C1597" s="1"/>
      <c r="D1597" s="1"/>
      <c r="E1597" s="1"/>
      <c r="F1597" s="1"/>
      <c r="G1597" s="1"/>
      <c r="H1597" s="1"/>
      <c r="I1597" s="1"/>
      <c r="J1597" s="1"/>
      <c r="O1597" s="1"/>
    </row>
    <row r="1598" spans="1:16" ht="15.75" customHeight="1">
      <c r="A1598" s="1"/>
      <c r="B1598" s="1"/>
      <c r="C1598" s="1"/>
      <c r="D1598" s="1"/>
      <c r="E1598" s="1"/>
      <c r="F1598" s="1"/>
      <c r="H1598" s="1"/>
      <c r="I1598" s="1"/>
      <c r="J1598" s="1"/>
      <c r="O1598" s="1"/>
    </row>
    <row r="1599" spans="1:16" ht="15.75" customHeight="1">
      <c r="A1599" s="1"/>
      <c r="B1599" s="1"/>
      <c r="C1599" s="1"/>
      <c r="D1599" s="1"/>
      <c r="E1599" s="1"/>
      <c r="F1599" s="1"/>
      <c r="H1599" s="1"/>
      <c r="I1599" s="1"/>
      <c r="J1599" s="1"/>
      <c r="K1599" s="1"/>
      <c r="O1599" s="1"/>
    </row>
    <row r="1600" spans="1:16" ht="15.75" customHeight="1">
      <c r="A1600" s="1"/>
      <c r="B1600" s="1"/>
      <c r="C1600" s="1"/>
      <c r="D1600" s="1"/>
      <c r="E1600" s="1"/>
      <c r="F1600" s="1"/>
      <c r="G1600" s="1"/>
      <c r="H1600" s="1"/>
      <c r="I1600" s="1"/>
      <c r="J1600" s="1"/>
      <c r="K1600" s="1"/>
      <c r="O1600" s="1"/>
    </row>
    <row r="1601" spans="1:15" ht="15.75" customHeight="1">
      <c r="A1601" s="1"/>
      <c r="B1601" s="1"/>
      <c r="C1601" s="1"/>
      <c r="D1601" s="1"/>
      <c r="E1601" s="1"/>
      <c r="F1601" s="1"/>
      <c r="G1601" s="1"/>
      <c r="H1601" s="1"/>
      <c r="I1601" s="1"/>
      <c r="K1601" s="1"/>
    </row>
    <row r="1602" spans="1:15" ht="15.75" customHeight="1">
      <c r="A1602" s="1"/>
      <c r="B1602" s="1"/>
      <c r="C1602" s="1"/>
      <c r="D1602" s="1"/>
      <c r="E1602" s="1"/>
      <c r="F1602" s="1"/>
      <c r="H1602" s="1"/>
      <c r="I1602" s="1"/>
      <c r="J1602" s="1"/>
      <c r="O1602" s="1"/>
    </row>
    <row r="1603" spans="1:15" ht="15.75" customHeight="1">
      <c r="A1603" s="1"/>
      <c r="B1603" s="1"/>
      <c r="C1603" s="1"/>
      <c r="D1603" s="1"/>
      <c r="E1603" s="1"/>
      <c r="F1603" s="1"/>
      <c r="G1603" s="1"/>
      <c r="H1603" s="1"/>
      <c r="I1603" s="1"/>
      <c r="J1603" s="1"/>
      <c r="O1603" s="1"/>
    </row>
    <row r="1604" spans="1:15" ht="15.75" customHeight="1">
      <c r="A1604" s="1"/>
      <c r="B1604" s="1"/>
      <c r="C1604" s="1"/>
      <c r="D1604" s="1"/>
      <c r="E1604" s="1"/>
      <c r="F1604" s="1"/>
      <c r="H1604" s="1"/>
      <c r="I1604" s="1"/>
      <c r="J1604" s="1"/>
      <c r="K1604" s="1"/>
      <c r="O1604" s="1"/>
    </row>
    <row r="1605" spans="1:15" ht="15.75" customHeight="1">
      <c r="A1605" s="1"/>
      <c r="B1605" s="1"/>
      <c r="C1605" s="1"/>
      <c r="D1605" s="1"/>
      <c r="E1605" s="1"/>
      <c r="F1605" s="1"/>
      <c r="G1605" s="1"/>
      <c r="H1605" s="1"/>
      <c r="I1605" s="1"/>
      <c r="J1605" s="1"/>
      <c r="K1605" s="1"/>
      <c r="O1605" s="1"/>
    </row>
    <row r="1606" spans="1:15" ht="15.75" customHeight="1">
      <c r="A1606" s="1"/>
      <c r="B1606" s="1"/>
      <c r="C1606" s="1"/>
      <c r="D1606" s="1"/>
      <c r="E1606" s="1"/>
      <c r="F1606" s="1"/>
      <c r="G1606" s="1"/>
      <c r="H1606" s="1"/>
      <c r="I1606" s="1"/>
      <c r="J1606" s="1"/>
      <c r="K1606" s="1"/>
    </row>
    <row r="1607" spans="1:15" ht="15.75" customHeight="1">
      <c r="A1607" s="1"/>
      <c r="B1607" s="1"/>
      <c r="C1607" s="1"/>
      <c r="D1607" s="1"/>
      <c r="E1607" s="1"/>
      <c r="F1607" s="1"/>
      <c r="H1607" s="1"/>
      <c r="I1607" s="1"/>
      <c r="J1607" s="1"/>
      <c r="K1607" s="1"/>
      <c r="O1607" s="1"/>
    </row>
    <row r="1608" spans="1:15" ht="15.75" customHeight="1">
      <c r="A1608" s="1"/>
      <c r="B1608" s="1"/>
      <c r="C1608" s="1"/>
      <c r="D1608" s="1"/>
      <c r="E1608" s="1"/>
      <c r="F1608" s="1"/>
      <c r="H1608" s="1"/>
      <c r="I1608" s="1"/>
      <c r="J1608" s="1"/>
      <c r="K1608" s="1"/>
      <c r="O1608" s="1"/>
    </row>
    <row r="1609" spans="1:15" ht="15.75" customHeight="1">
      <c r="A1609" s="1"/>
      <c r="B1609" s="1"/>
      <c r="C1609" s="1"/>
      <c r="D1609" s="1"/>
      <c r="E1609" s="1"/>
      <c r="F1609" s="1"/>
      <c r="G1609" s="1"/>
      <c r="H1609" s="1"/>
      <c r="I1609" s="1"/>
      <c r="J1609" s="1"/>
      <c r="K1609" s="1"/>
      <c r="O1609" s="1"/>
    </row>
    <row r="1610" spans="1:15" ht="15.75" customHeight="1">
      <c r="A1610" s="1"/>
      <c r="B1610" s="1"/>
      <c r="C1610" s="2"/>
      <c r="D1610" s="1"/>
      <c r="E1610" s="1"/>
      <c r="F1610" s="1"/>
      <c r="H1610" s="1"/>
      <c r="I1610" s="1"/>
      <c r="J1610" s="1"/>
      <c r="O1610" s="1"/>
    </row>
    <row r="1611" spans="1:15" ht="15.75" customHeight="1">
      <c r="A1611" s="1"/>
      <c r="B1611" s="1"/>
      <c r="C1611" s="1"/>
      <c r="D1611" s="1"/>
      <c r="E1611" s="1"/>
      <c r="F1611" s="1"/>
      <c r="G1611" s="1"/>
      <c r="H1611" s="1"/>
      <c r="I1611" s="1"/>
      <c r="K1611" s="1"/>
    </row>
    <row r="1612" spans="1:15" ht="15.75" customHeight="1">
      <c r="A1612" s="1"/>
      <c r="B1612" s="1"/>
      <c r="C1612" s="1"/>
      <c r="D1612" s="1"/>
      <c r="E1612" s="1"/>
      <c r="F1612" s="1"/>
      <c r="H1612" s="1"/>
      <c r="I1612" s="1"/>
      <c r="J1612" s="1"/>
      <c r="O1612" s="1"/>
    </row>
    <row r="1613" spans="1:15" ht="15.75" customHeight="1">
      <c r="A1613" s="1"/>
      <c r="B1613" s="1"/>
      <c r="C1613" s="1"/>
      <c r="D1613" s="1"/>
      <c r="E1613" s="1"/>
      <c r="F1613" s="1"/>
      <c r="G1613" s="1"/>
      <c r="H1613" s="1"/>
      <c r="I1613" s="1"/>
      <c r="K1613" s="1"/>
    </row>
    <row r="1614" spans="1:15" ht="15.75" customHeight="1">
      <c r="A1614" s="1"/>
      <c r="B1614" s="1"/>
      <c r="C1614" s="1"/>
      <c r="D1614" s="1"/>
      <c r="E1614" s="1"/>
      <c r="F1614" s="1"/>
      <c r="H1614" s="1"/>
      <c r="I1614" s="1"/>
      <c r="J1614" s="1"/>
      <c r="K1614" s="1"/>
      <c r="O1614" s="1"/>
    </row>
    <row r="1615" spans="1:15" ht="15.75" customHeight="1">
      <c r="A1615" s="1"/>
      <c r="B1615" s="1"/>
      <c r="C1615" s="1"/>
      <c r="D1615" s="1"/>
      <c r="E1615" s="1"/>
      <c r="F1615" s="1"/>
      <c r="H1615" s="1"/>
      <c r="I1615" s="1"/>
      <c r="J1615" s="1"/>
      <c r="K1615" s="1"/>
      <c r="O1615" s="1"/>
    </row>
    <row r="1616" spans="1:15" ht="15.75" customHeight="1">
      <c r="A1616" s="1"/>
      <c r="B1616" s="1"/>
      <c r="C1616" s="1"/>
      <c r="D1616" s="1"/>
      <c r="E1616" s="1"/>
      <c r="F1616" s="1"/>
      <c r="H1616" s="1"/>
      <c r="I1616" s="1"/>
      <c r="J1616" s="1"/>
      <c r="O1616" s="1"/>
    </row>
    <row r="1617" spans="1:16" ht="15.75" customHeight="1">
      <c r="A1617" s="1"/>
      <c r="B1617" s="1"/>
      <c r="C1617" s="1"/>
      <c r="D1617" s="1"/>
      <c r="E1617" s="1"/>
      <c r="F1617" s="1"/>
      <c r="H1617" s="1"/>
      <c r="I1617" s="1"/>
      <c r="J1617" s="1"/>
      <c r="K1617" s="1"/>
      <c r="O1617" s="1"/>
    </row>
    <row r="1618" spans="1:16" ht="15.75" customHeight="1">
      <c r="A1618" s="1"/>
      <c r="B1618" s="1"/>
      <c r="C1618" s="1"/>
      <c r="D1618" s="1"/>
      <c r="E1618" s="1"/>
      <c r="F1618" s="1"/>
      <c r="G1618" s="1"/>
      <c r="H1618" s="1"/>
      <c r="I1618" s="1"/>
      <c r="J1618" s="1"/>
      <c r="K1618" s="1"/>
      <c r="L1618" s="1"/>
      <c r="M1618" s="1"/>
      <c r="N1618" s="1"/>
      <c r="O1618" s="1"/>
      <c r="P1618" s="5"/>
    </row>
    <row r="1619" spans="1:16" ht="15.75" customHeight="1">
      <c r="A1619" s="1"/>
      <c r="B1619" s="1"/>
      <c r="C1619" s="1"/>
      <c r="D1619" s="1"/>
      <c r="E1619" s="1"/>
      <c r="F1619" s="1"/>
      <c r="G1619" s="1"/>
      <c r="H1619" s="1"/>
      <c r="I1619" s="1"/>
      <c r="J1619" s="1"/>
      <c r="K1619" s="1"/>
    </row>
    <row r="1620" spans="1:16" ht="15.75" customHeight="1">
      <c r="A1620" s="1"/>
      <c r="B1620" s="1"/>
      <c r="C1620" s="1"/>
      <c r="D1620" s="1"/>
      <c r="E1620" s="1"/>
      <c r="F1620" s="1"/>
      <c r="G1620" s="1"/>
      <c r="H1620" s="1"/>
      <c r="I1620" s="1"/>
      <c r="K1620" s="1"/>
      <c r="O1620" s="1"/>
    </row>
    <row r="1621" spans="1:16" ht="15.75" customHeight="1">
      <c r="A1621" s="1"/>
      <c r="B1621" s="1"/>
      <c r="C1621" s="1"/>
      <c r="D1621" s="1"/>
      <c r="E1621" s="1"/>
      <c r="F1621" s="1"/>
      <c r="G1621" s="1"/>
      <c r="H1621" s="1"/>
      <c r="I1621" s="1"/>
      <c r="J1621" s="1"/>
      <c r="K1621" s="1"/>
      <c r="L1621" s="1"/>
      <c r="M1621" s="1"/>
      <c r="N1621" s="1"/>
      <c r="O1621" s="1"/>
      <c r="P1621" s="5"/>
    </row>
    <row r="1622" spans="1:16" ht="15.75" customHeight="1">
      <c r="A1622" s="1"/>
      <c r="B1622" s="1"/>
      <c r="C1622" s="1"/>
      <c r="D1622" s="1"/>
      <c r="E1622" s="1"/>
      <c r="F1622" s="1"/>
      <c r="H1622" s="1"/>
      <c r="I1622" s="1"/>
      <c r="J1622" s="1"/>
      <c r="K1622" s="1"/>
      <c r="O1622" s="1"/>
    </row>
    <row r="1623" spans="1:16" ht="15.75" customHeight="1">
      <c r="A1623" s="1"/>
      <c r="B1623" s="1"/>
      <c r="C1623" s="1"/>
      <c r="D1623" s="1"/>
      <c r="E1623" s="1"/>
      <c r="F1623" s="1"/>
      <c r="G1623" s="1"/>
      <c r="H1623" s="1"/>
      <c r="I1623" s="1"/>
      <c r="J1623" s="1"/>
      <c r="K1623" s="1"/>
    </row>
    <row r="1624" spans="1:16" ht="15.75" customHeight="1">
      <c r="A1624" s="1"/>
      <c r="B1624" s="1"/>
      <c r="C1624" s="1"/>
      <c r="D1624" s="1"/>
      <c r="E1624" s="1"/>
      <c r="F1624" s="1"/>
      <c r="G1624" s="1"/>
      <c r="H1624" s="1"/>
      <c r="I1624" s="1"/>
      <c r="J1624" s="1"/>
      <c r="K1624" s="1"/>
      <c r="O1624" s="1"/>
    </row>
    <row r="1625" spans="1:16" ht="15.75" customHeight="1">
      <c r="A1625" s="1"/>
      <c r="B1625" s="1"/>
      <c r="C1625" s="1"/>
      <c r="D1625" s="1"/>
      <c r="E1625" s="1"/>
      <c r="F1625" s="1"/>
      <c r="G1625" s="1"/>
      <c r="H1625" s="1"/>
      <c r="I1625" s="1"/>
      <c r="J1625" s="1"/>
      <c r="K1625" s="1"/>
      <c r="L1625" s="1"/>
      <c r="M1625" s="1"/>
      <c r="N1625" s="1"/>
      <c r="O1625" s="1"/>
      <c r="P1625" s="5"/>
    </row>
    <row r="1626" spans="1:16" ht="15.75" customHeight="1">
      <c r="A1626" s="1"/>
      <c r="B1626" s="1"/>
      <c r="C1626" s="1"/>
      <c r="D1626" s="1"/>
      <c r="E1626" s="1"/>
      <c r="F1626" s="1"/>
      <c r="H1626" s="1"/>
      <c r="I1626" s="1"/>
      <c r="J1626" s="1"/>
      <c r="O1626" s="1"/>
    </row>
    <row r="1627" spans="1:16" ht="15.75" customHeight="1">
      <c r="A1627" s="1"/>
      <c r="B1627" s="1"/>
      <c r="C1627" s="1"/>
      <c r="D1627" s="1"/>
      <c r="E1627" s="1"/>
      <c r="F1627" s="1"/>
      <c r="H1627" s="1"/>
      <c r="I1627" s="1"/>
      <c r="J1627" s="1"/>
      <c r="O1627" s="1"/>
    </row>
    <row r="1628" spans="1:16" ht="15.75" customHeight="1">
      <c r="A1628" s="1"/>
      <c r="B1628" s="1"/>
      <c r="C1628" s="1"/>
      <c r="D1628" s="1"/>
      <c r="E1628" s="1"/>
      <c r="F1628" s="1"/>
      <c r="G1628" s="1"/>
      <c r="H1628" s="1"/>
      <c r="I1628" s="1"/>
      <c r="J1628" s="1"/>
      <c r="O1628" s="1"/>
    </row>
    <row r="1629" spans="1:16" ht="15.75" customHeight="1">
      <c r="A1629" s="1"/>
      <c r="B1629" s="1"/>
      <c r="C1629" s="1"/>
      <c r="D1629" s="1"/>
      <c r="E1629" s="1"/>
      <c r="F1629" s="1"/>
      <c r="H1629" s="1"/>
      <c r="I1629" s="1"/>
      <c r="J1629" s="1"/>
      <c r="K1629" s="1"/>
      <c r="O1629" s="1"/>
    </row>
    <row r="1630" spans="1:16" ht="15.75" customHeight="1">
      <c r="A1630" s="1"/>
      <c r="B1630" s="1"/>
      <c r="C1630" s="1"/>
      <c r="D1630" s="1"/>
      <c r="E1630" s="1"/>
      <c r="F1630" s="1"/>
      <c r="H1630" s="1"/>
      <c r="I1630" s="1"/>
      <c r="J1630" s="1"/>
      <c r="K1630" s="1"/>
      <c r="O1630" s="1"/>
    </row>
    <row r="1631" spans="1:16" ht="15.75" customHeight="1">
      <c r="A1631" s="1"/>
      <c r="B1631" s="1"/>
      <c r="C1631" s="1"/>
      <c r="D1631" s="1"/>
      <c r="E1631" s="1"/>
      <c r="F1631" s="1"/>
      <c r="G1631" s="1"/>
      <c r="H1631" s="1"/>
      <c r="I1631" s="1"/>
      <c r="J1631" s="1"/>
      <c r="K1631" s="1"/>
      <c r="L1631" s="1"/>
      <c r="M1631" s="1"/>
      <c r="N1631" s="1"/>
      <c r="O1631" s="1"/>
      <c r="P1631" s="5"/>
    </row>
    <row r="1632" spans="1:16" ht="15.75" customHeight="1">
      <c r="A1632" s="1"/>
      <c r="B1632" s="1"/>
      <c r="C1632" s="1"/>
      <c r="D1632" s="1"/>
      <c r="E1632" s="1"/>
      <c r="F1632" s="1"/>
      <c r="G1632" s="1"/>
      <c r="H1632" s="1"/>
      <c r="I1632" s="1"/>
      <c r="J1632" s="1"/>
      <c r="K1632" s="1"/>
    </row>
    <row r="1633" spans="1:16" ht="15.75" customHeight="1">
      <c r="A1633" s="1"/>
      <c r="B1633" s="1"/>
      <c r="C1633" s="1"/>
      <c r="D1633" s="1"/>
      <c r="E1633" s="1"/>
      <c r="F1633" s="1"/>
      <c r="G1633" s="1"/>
      <c r="H1633" s="1"/>
      <c r="I1633" s="1"/>
      <c r="J1633" s="1"/>
      <c r="K1633" s="1"/>
    </row>
    <row r="1634" spans="1:16" ht="15.75" customHeight="1">
      <c r="A1634" s="1"/>
      <c r="B1634" s="1"/>
      <c r="C1634" s="1"/>
      <c r="D1634" s="1"/>
      <c r="E1634" s="1"/>
      <c r="F1634" s="1"/>
      <c r="H1634" s="1"/>
      <c r="I1634" s="1"/>
      <c r="J1634" s="1"/>
      <c r="K1634" s="1"/>
      <c r="O1634" s="1"/>
    </row>
    <row r="1635" spans="1:16" ht="15.75" customHeight="1">
      <c r="A1635" s="1"/>
      <c r="B1635" s="1"/>
      <c r="C1635" s="1"/>
      <c r="D1635" s="1"/>
      <c r="F1635" s="1"/>
      <c r="H1635" s="1"/>
      <c r="I1635" s="1"/>
      <c r="J1635" s="1"/>
      <c r="O1635" s="1"/>
    </row>
    <row r="1636" spans="1:16" ht="15.75" customHeight="1">
      <c r="A1636" s="1"/>
      <c r="B1636" s="1"/>
      <c r="C1636" s="1"/>
      <c r="D1636" s="1"/>
      <c r="E1636" s="1"/>
      <c r="F1636" s="1"/>
      <c r="G1636" s="1"/>
      <c r="H1636" s="1"/>
      <c r="I1636" s="1"/>
      <c r="J1636" s="1"/>
      <c r="K1636" s="1"/>
      <c r="L1636" s="1"/>
      <c r="M1636" s="1"/>
      <c r="N1636" s="1"/>
      <c r="O1636" s="1"/>
      <c r="P1636" s="5"/>
    </row>
    <row r="1637" spans="1:16" ht="15.75" customHeight="1">
      <c r="A1637" s="1"/>
      <c r="B1637" s="1"/>
      <c r="C1637" s="1"/>
      <c r="D1637" s="1"/>
      <c r="E1637" s="1"/>
      <c r="F1637" s="1"/>
      <c r="G1637" s="1"/>
      <c r="H1637" s="1"/>
      <c r="I1637" s="1"/>
      <c r="K1637" s="1"/>
      <c r="O1637" s="1"/>
    </row>
    <row r="1638" spans="1:16" ht="15.75" customHeight="1">
      <c r="A1638" s="1"/>
      <c r="B1638" s="1"/>
      <c r="C1638" s="1"/>
      <c r="D1638" s="1"/>
      <c r="E1638" s="1"/>
      <c r="F1638" s="1"/>
      <c r="G1638" s="1"/>
      <c r="H1638" s="1"/>
      <c r="I1638" s="1"/>
      <c r="J1638" s="1"/>
      <c r="K1638" s="1"/>
      <c r="O1638" s="1"/>
    </row>
    <row r="1639" spans="1:16" ht="15.75" customHeight="1">
      <c r="A1639" s="1"/>
      <c r="B1639" s="1"/>
      <c r="C1639" s="1"/>
      <c r="D1639" s="1"/>
      <c r="E1639" s="1"/>
      <c r="F1639" s="1"/>
      <c r="G1639" s="1"/>
      <c r="H1639" s="1"/>
      <c r="I1639" s="1"/>
      <c r="J1639" s="1"/>
      <c r="K1639" s="1"/>
      <c r="O1639" s="1"/>
    </row>
    <row r="1640" spans="1:16" ht="15.75" customHeight="1">
      <c r="A1640" s="1"/>
      <c r="B1640" s="1"/>
      <c r="C1640" s="1"/>
      <c r="D1640" s="1"/>
      <c r="E1640" s="1"/>
      <c r="F1640" s="1"/>
      <c r="H1640" s="1"/>
      <c r="I1640" s="1"/>
      <c r="J1640" s="1"/>
      <c r="K1640" s="1"/>
      <c r="O1640" s="1"/>
    </row>
    <row r="1641" spans="1:16" ht="15.75" customHeight="1">
      <c r="A1641" s="1"/>
      <c r="B1641" s="1"/>
      <c r="C1641" s="1"/>
      <c r="D1641" s="1"/>
      <c r="E1641" s="1"/>
      <c r="F1641" s="1"/>
      <c r="G1641" s="1"/>
      <c r="H1641" s="1"/>
      <c r="I1641" s="1"/>
      <c r="J1641" s="1"/>
      <c r="K1641" s="1"/>
      <c r="L1641" s="1"/>
      <c r="M1641" s="1"/>
      <c r="N1641" s="1"/>
      <c r="O1641" s="1"/>
      <c r="P1641" s="5"/>
    </row>
    <row r="1642" spans="1:16" ht="15.75" customHeight="1">
      <c r="A1642" s="1"/>
      <c r="B1642" s="1"/>
      <c r="C1642" s="1"/>
      <c r="D1642" s="1"/>
      <c r="E1642" s="1"/>
      <c r="F1642" s="1"/>
      <c r="H1642" s="1"/>
      <c r="I1642" s="1"/>
      <c r="J1642" s="1"/>
      <c r="K1642" s="1"/>
      <c r="O1642" s="1"/>
    </row>
    <row r="1643" spans="1:16" ht="15.75" customHeight="1">
      <c r="A1643" s="1"/>
      <c r="B1643" s="1"/>
      <c r="C1643" s="1"/>
      <c r="D1643" s="1"/>
      <c r="E1643" s="1"/>
      <c r="F1643" s="1"/>
      <c r="G1643" s="1"/>
      <c r="H1643" s="1"/>
      <c r="I1643" s="1"/>
      <c r="J1643" s="1"/>
      <c r="K1643" s="1"/>
    </row>
    <row r="1644" spans="1:16" ht="15.75" customHeight="1">
      <c r="A1644" s="1"/>
      <c r="B1644" s="1"/>
      <c r="C1644" s="1"/>
      <c r="D1644" s="1"/>
      <c r="E1644" s="1"/>
      <c r="F1644" s="1"/>
      <c r="G1644" s="1"/>
      <c r="H1644" s="1"/>
      <c r="I1644" s="1"/>
      <c r="J1644" s="1"/>
      <c r="K1644" s="1"/>
      <c r="L1644" s="1"/>
      <c r="M1644" s="1"/>
      <c r="N1644" s="1"/>
      <c r="O1644" s="1"/>
      <c r="P1644" s="5"/>
    </row>
    <row r="1645" spans="1:16" ht="15.75" customHeight="1">
      <c r="A1645" s="1"/>
      <c r="B1645" s="1"/>
      <c r="C1645" s="1"/>
      <c r="D1645" s="1"/>
      <c r="E1645" s="1"/>
      <c r="F1645" s="1"/>
      <c r="G1645" s="1"/>
      <c r="H1645" s="1"/>
      <c r="I1645" s="1"/>
      <c r="J1645" s="1"/>
      <c r="K1645" s="1"/>
    </row>
    <row r="1646" spans="1:16" ht="15.75" customHeight="1">
      <c r="A1646" s="1"/>
      <c r="B1646" s="1"/>
      <c r="C1646" s="1"/>
      <c r="D1646" s="1"/>
      <c r="E1646" s="1"/>
      <c r="F1646" s="1"/>
      <c r="G1646" s="1"/>
      <c r="H1646" s="1"/>
      <c r="I1646" s="1"/>
      <c r="K1646" s="1"/>
      <c r="O1646" s="1"/>
    </row>
    <row r="1647" spans="1:16" ht="15.75" customHeight="1">
      <c r="A1647" s="1"/>
      <c r="B1647" s="1"/>
      <c r="C1647" s="1"/>
      <c r="D1647" s="1"/>
      <c r="E1647" s="1"/>
      <c r="F1647" s="1"/>
      <c r="H1647" s="1"/>
      <c r="I1647" s="1"/>
      <c r="J1647" s="1"/>
      <c r="K1647" s="1"/>
      <c r="O1647" s="1"/>
    </row>
    <row r="1648" spans="1:16" ht="15.75" customHeight="1">
      <c r="A1648" s="1"/>
      <c r="B1648" s="1"/>
      <c r="C1648" s="1"/>
      <c r="D1648" s="1"/>
      <c r="E1648" s="1"/>
      <c r="F1648" s="1"/>
      <c r="G1648" s="1"/>
      <c r="H1648" s="1"/>
      <c r="I1648" s="1"/>
      <c r="K1648" s="1"/>
    </row>
    <row r="1649" spans="1:16" ht="15.75" customHeight="1">
      <c r="A1649" s="1"/>
      <c r="B1649" s="1"/>
      <c r="C1649" s="1"/>
      <c r="D1649" s="1"/>
      <c r="E1649" s="1"/>
      <c r="F1649" s="1"/>
      <c r="H1649" s="1"/>
      <c r="I1649" s="1"/>
      <c r="J1649" s="1"/>
      <c r="K1649" s="1"/>
      <c r="O1649" s="1"/>
    </row>
    <row r="1650" spans="1:16" ht="15.75" customHeight="1">
      <c r="A1650" s="1"/>
      <c r="B1650" s="1"/>
      <c r="C1650" s="1"/>
      <c r="D1650" s="1"/>
      <c r="F1650" s="1"/>
      <c r="H1650" s="1"/>
      <c r="I1650" s="1"/>
      <c r="J1650" s="1"/>
      <c r="K1650" s="1"/>
      <c r="O1650" s="1"/>
    </row>
    <row r="1651" spans="1:16" ht="15.75" customHeight="1">
      <c r="A1651" s="1"/>
      <c r="B1651" s="1"/>
      <c r="C1651" s="1"/>
      <c r="D1651" s="1"/>
      <c r="E1651" s="1"/>
      <c r="F1651" s="1"/>
      <c r="G1651" s="1"/>
      <c r="H1651" s="1"/>
      <c r="I1651" s="1"/>
      <c r="J1651" s="1"/>
      <c r="K1651" s="1"/>
    </row>
    <row r="1652" spans="1:16" ht="15.75" customHeight="1">
      <c r="A1652" s="1"/>
      <c r="B1652" s="1"/>
      <c r="C1652" s="1"/>
      <c r="D1652" s="1"/>
      <c r="E1652" s="1"/>
      <c r="F1652" s="1"/>
      <c r="G1652" s="1"/>
      <c r="H1652" s="1"/>
      <c r="I1652" s="1"/>
      <c r="K1652" s="1"/>
      <c r="O1652" s="1"/>
    </row>
    <row r="1653" spans="1:16" ht="15.75" customHeight="1">
      <c r="A1653" s="1"/>
      <c r="B1653" s="1"/>
      <c r="C1653" s="1"/>
      <c r="D1653" s="1"/>
      <c r="E1653" s="1"/>
      <c r="F1653" s="1"/>
      <c r="H1653" s="1"/>
      <c r="I1653" s="1"/>
      <c r="J1653" s="1"/>
      <c r="K1653" s="1"/>
      <c r="O1653" s="1"/>
    </row>
    <row r="1654" spans="1:16" ht="15.75" customHeight="1">
      <c r="A1654" s="1"/>
      <c r="B1654" s="1"/>
      <c r="C1654" s="1"/>
      <c r="D1654" s="1"/>
      <c r="E1654" s="1"/>
      <c r="F1654" s="1"/>
      <c r="G1654" s="1"/>
      <c r="H1654" s="1"/>
      <c r="I1654" s="1"/>
      <c r="J1654" s="1"/>
      <c r="K1654" s="1"/>
    </row>
    <row r="1655" spans="1:16" ht="15.75" customHeight="1">
      <c r="A1655" s="1"/>
      <c r="B1655" s="1"/>
      <c r="C1655" s="1"/>
      <c r="D1655" s="1"/>
      <c r="E1655" s="1"/>
      <c r="F1655" s="1"/>
      <c r="H1655" s="1"/>
      <c r="I1655" s="1"/>
      <c r="J1655" s="1"/>
      <c r="K1655" s="1"/>
      <c r="O1655" s="1"/>
    </row>
    <row r="1656" spans="1:16" ht="15.75" customHeight="1">
      <c r="A1656" s="1"/>
      <c r="B1656" s="1"/>
      <c r="C1656" s="1"/>
      <c r="D1656" s="1"/>
      <c r="E1656" s="1"/>
      <c r="F1656" s="1"/>
      <c r="H1656" s="1"/>
      <c r="I1656" s="1"/>
      <c r="J1656" s="1"/>
      <c r="O1656" s="1"/>
    </row>
    <row r="1657" spans="1:16" ht="15.75" customHeight="1">
      <c r="A1657" s="1"/>
      <c r="B1657" s="1"/>
      <c r="C1657" s="1"/>
      <c r="D1657" s="1"/>
      <c r="E1657" s="1"/>
      <c r="F1657" s="1"/>
      <c r="H1657" s="1"/>
      <c r="I1657" s="1"/>
      <c r="J1657" s="1"/>
      <c r="O1657" s="1"/>
    </row>
    <row r="1658" spans="1:16" ht="15.75" customHeight="1">
      <c r="A1658" s="1"/>
      <c r="B1658" s="1"/>
      <c r="C1658" s="1"/>
      <c r="D1658" s="1"/>
      <c r="E1658" s="1"/>
      <c r="F1658" s="1"/>
      <c r="G1658" s="1"/>
      <c r="H1658" s="1"/>
      <c r="I1658" s="1"/>
      <c r="K1658" s="1"/>
    </row>
    <row r="1659" spans="1:16" ht="15.75" customHeight="1">
      <c r="A1659" s="1"/>
      <c r="B1659" s="1"/>
      <c r="C1659" s="1"/>
      <c r="D1659" s="1"/>
      <c r="E1659" s="1"/>
      <c r="F1659" s="1"/>
      <c r="G1659" s="1"/>
      <c r="H1659" s="1"/>
      <c r="I1659" s="1"/>
      <c r="J1659" s="1"/>
      <c r="K1659" s="1"/>
      <c r="L1659" s="1"/>
      <c r="M1659" s="1"/>
      <c r="N1659" s="1"/>
      <c r="O1659" s="1"/>
      <c r="P1659" s="5"/>
    </row>
    <row r="1660" spans="1:16" ht="15.75" customHeight="1">
      <c r="A1660" s="1"/>
      <c r="B1660" s="1"/>
      <c r="C1660" s="1"/>
      <c r="D1660" s="1"/>
      <c r="E1660" s="1"/>
      <c r="F1660" s="1"/>
      <c r="G1660" s="1"/>
      <c r="H1660" s="1"/>
      <c r="I1660" s="1"/>
      <c r="J1660" s="1"/>
      <c r="K1660" s="1"/>
      <c r="O1660" s="1"/>
    </row>
    <row r="1661" spans="1:16" ht="15.75" customHeight="1">
      <c r="A1661" s="1"/>
      <c r="B1661" s="1"/>
      <c r="C1661" s="1"/>
      <c r="D1661" s="1"/>
      <c r="E1661" s="1"/>
      <c r="F1661" s="1"/>
      <c r="H1661" s="1"/>
      <c r="I1661" s="1"/>
      <c r="J1661" s="1"/>
      <c r="K1661" s="1"/>
      <c r="O1661" s="1"/>
    </row>
    <row r="1662" spans="1:16" ht="15.75" customHeight="1">
      <c r="A1662" s="1"/>
      <c r="B1662" s="1"/>
      <c r="C1662" s="1"/>
      <c r="D1662" s="1"/>
      <c r="E1662" s="1"/>
      <c r="F1662" s="1"/>
      <c r="G1662" s="1"/>
      <c r="H1662" s="1"/>
      <c r="I1662" s="1"/>
      <c r="J1662" s="1"/>
      <c r="K1662" s="1"/>
      <c r="O1662" s="1"/>
    </row>
    <row r="1663" spans="1:16" ht="15.75" customHeight="1">
      <c r="A1663" s="1"/>
      <c r="B1663" s="1"/>
      <c r="C1663" s="1"/>
      <c r="D1663" s="1"/>
      <c r="E1663" s="1"/>
      <c r="F1663" s="1"/>
      <c r="H1663" s="1"/>
      <c r="I1663" s="1"/>
      <c r="J1663" s="1"/>
      <c r="K1663" s="1"/>
      <c r="O1663" s="1"/>
    </row>
    <row r="1664" spans="1:16" ht="15.75" customHeight="1">
      <c r="A1664" s="1"/>
      <c r="B1664" s="1"/>
      <c r="C1664" s="1"/>
      <c r="D1664" s="1"/>
      <c r="E1664" s="1"/>
      <c r="F1664" s="1"/>
      <c r="G1664" s="1"/>
      <c r="H1664" s="1"/>
      <c r="I1664" s="1"/>
      <c r="K1664" s="1"/>
      <c r="O1664" s="1"/>
    </row>
    <row r="1665" spans="1:17" ht="15.75" customHeight="1">
      <c r="A1665" s="1"/>
      <c r="B1665" s="1"/>
      <c r="C1665" s="1"/>
      <c r="D1665" s="1"/>
      <c r="E1665" s="1"/>
      <c r="F1665" s="2"/>
      <c r="H1665" s="1"/>
      <c r="I1665" s="1"/>
      <c r="J1665" s="1"/>
      <c r="K1665" s="1"/>
      <c r="O1665" s="1"/>
    </row>
    <row r="1666" spans="1:17" ht="15.75" customHeight="1">
      <c r="A1666" s="1"/>
      <c r="B1666" s="1"/>
      <c r="C1666" s="1"/>
      <c r="D1666" s="1"/>
      <c r="E1666" s="1"/>
      <c r="F1666" s="1"/>
      <c r="G1666" s="1"/>
      <c r="H1666" s="1"/>
      <c r="I1666" s="1"/>
      <c r="J1666" s="1"/>
      <c r="K1666" s="1"/>
      <c r="O1666" s="1"/>
    </row>
    <row r="1667" spans="1:17" ht="15.75" customHeight="1">
      <c r="A1667" s="1"/>
      <c r="B1667" s="1"/>
      <c r="C1667" s="1"/>
      <c r="D1667" s="1"/>
      <c r="E1667" s="1"/>
      <c r="F1667" s="1"/>
      <c r="H1667" s="1"/>
      <c r="I1667" s="1"/>
      <c r="J1667" s="1"/>
      <c r="K1667" s="1"/>
    </row>
    <row r="1668" spans="1:17" ht="15.75" customHeight="1">
      <c r="A1668" s="1"/>
      <c r="B1668" s="1"/>
      <c r="C1668" s="1"/>
      <c r="D1668" s="1"/>
      <c r="E1668" s="1"/>
      <c r="F1668" s="1"/>
      <c r="G1668" s="1"/>
      <c r="H1668" s="1"/>
      <c r="I1668" s="1"/>
      <c r="K1668" s="1"/>
    </row>
    <row r="1669" spans="1:17" ht="15.75" customHeight="1">
      <c r="A1669" s="1"/>
      <c r="B1669" s="1"/>
      <c r="C1669" s="1"/>
      <c r="D1669" s="1"/>
      <c r="E1669" s="1"/>
      <c r="F1669" s="1"/>
      <c r="G1669" s="1"/>
      <c r="H1669" s="1"/>
      <c r="I1669" s="1"/>
      <c r="K1669" s="1"/>
      <c r="O1669" s="1"/>
    </row>
    <row r="1670" spans="1:17" ht="15.75" customHeight="1">
      <c r="A1670" s="1"/>
      <c r="B1670" s="1"/>
      <c r="C1670" s="1"/>
      <c r="D1670" s="1"/>
      <c r="E1670" s="1"/>
      <c r="F1670" s="2"/>
      <c r="H1670" s="1"/>
      <c r="I1670" s="1"/>
      <c r="J1670" s="1"/>
      <c r="K1670" s="1"/>
      <c r="O1670" s="1"/>
    </row>
    <row r="1671" spans="1:17" ht="15.75" customHeight="1">
      <c r="A1671" s="1"/>
      <c r="B1671" s="1"/>
      <c r="C1671" s="1"/>
      <c r="D1671" s="1"/>
      <c r="E1671" s="1"/>
      <c r="F1671" s="1"/>
      <c r="H1671" s="1"/>
      <c r="I1671" s="1"/>
      <c r="J1671" s="1"/>
      <c r="O1671" s="1"/>
    </row>
    <row r="1672" spans="1:17" ht="15.75" customHeight="1">
      <c r="A1672" s="1"/>
      <c r="B1672" s="1"/>
      <c r="C1672" s="1"/>
      <c r="D1672" s="1"/>
      <c r="E1672" s="1"/>
      <c r="F1672" s="2"/>
      <c r="H1672" s="1"/>
      <c r="I1672" s="1"/>
      <c r="J1672" s="1"/>
      <c r="K1672" s="1"/>
      <c r="O1672" s="1"/>
    </row>
    <row r="1673" spans="1:17" ht="15.75" customHeight="1">
      <c r="A1673" s="1"/>
      <c r="B1673" s="1"/>
      <c r="C1673" s="1"/>
      <c r="D1673" s="1"/>
      <c r="E1673" s="1"/>
      <c r="F1673" s="1"/>
      <c r="H1673" s="1"/>
      <c r="I1673" s="1"/>
      <c r="J1673" s="1"/>
      <c r="K1673" s="1"/>
      <c r="O1673" s="1"/>
    </row>
    <row r="1674" spans="1:17" ht="15.75" customHeight="1">
      <c r="A1674" s="1"/>
      <c r="B1674" s="1"/>
      <c r="C1674" s="1"/>
      <c r="D1674" s="1"/>
      <c r="E1674" s="1"/>
      <c r="F1674" s="1"/>
      <c r="H1674" s="1"/>
      <c r="I1674" s="1"/>
      <c r="J1674" s="1"/>
      <c r="K1674" s="1"/>
      <c r="O1674" s="1"/>
    </row>
    <row r="1675" spans="1:17" ht="15.75" customHeight="1">
      <c r="A1675" s="1"/>
      <c r="B1675" s="1"/>
      <c r="C1675" s="1"/>
      <c r="D1675" s="1"/>
      <c r="E1675" s="1"/>
      <c r="F1675" s="1"/>
      <c r="H1675" s="1"/>
      <c r="I1675" s="1"/>
      <c r="J1675" s="1"/>
      <c r="K1675" s="1"/>
      <c r="O1675" s="1"/>
    </row>
    <row r="1676" spans="1:17" ht="15.75" customHeight="1">
      <c r="A1676" s="1"/>
      <c r="B1676" s="1"/>
      <c r="C1676" s="1"/>
      <c r="D1676" s="1"/>
      <c r="E1676" s="1"/>
      <c r="F1676" s="1"/>
      <c r="H1676" s="1"/>
      <c r="I1676" s="1"/>
      <c r="J1676" s="1"/>
      <c r="K1676" s="1"/>
      <c r="O1676" s="1"/>
    </row>
    <row r="1677" spans="1:17" ht="15.75" customHeight="1">
      <c r="A1677" s="1"/>
      <c r="B1677" s="1"/>
      <c r="C1677" s="1"/>
      <c r="D1677" s="1"/>
      <c r="E1677" s="1"/>
      <c r="F1677" s="1"/>
      <c r="G1677" s="1"/>
      <c r="H1677" s="1"/>
      <c r="I1677" s="1"/>
      <c r="J1677" s="1"/>
      <c r="K1677" s="1"/>
      <c r="L1677" s="1"/>
      <c r="M1677" s="1"/>
      <c r="N1677" s="1"/>
      <c r="O1677" s="1"/>
      <c r="P1677" s="5"/>
    </row>
    <row r="1678" spans="1:17" ht="15.75" customHeight="1">
      <c r="A1678" s="6"/>
      <c r="B1678" s="6"/>
      <c r="C1678" s="6"/>
      <c r="D1678" s="6"/>
      <c r="E1678" s="6"/>
      <c r="F1678" s="6"/>
      <c r="G1678" s="7"/>
      <c r="H1678" s="6"/>
      <c r="I1678" s="6"/>
      <c r="J1678" s="7"/>
      <c r="K1678" s="7"/>
      <c r="L1678" s="7"/>
      <c r="M1678" s="7"/>
      <c r="N1678" s="7"/>
      <c r="O1678" s="6"/>
      <c r="P1678" s="7"/>
      <c r="Q1678" s="7"/>
    </row>
    <row r="1679" spans="1:17" ht="15.75" customHeight="1">
      <c r="A1679" s="1"/>
      <c r="B1679" s="1"/>
      <c r="C1679" s="1"/>
      <c r="D1679" s="1"/>
      <c r="E1679" s="1"/>
      <c r="F1679" s="1"/>
      <c r="H1679" s="1"/>
      <c r="I1679" s="1"/>
      <c r="J1679" s="1"/>
      <c r="K1679" s="1"/>
      <c r="O1679" s="1"/>
    </row>
    <row r="1680" spans="1:17" ht="15.75" customHeight="1">
      <c r="A1680" s="1"/>
      <c r="B1680" s="1"/>
      <c r="C1680" s="1"/>
      <c r="D1680" s="1"/>
      <c r="E1680" s="1"/>
      <c r="F1680" s="1"/>
      <c r="H1680" s="1"/>
      <c r="I1680" s="1"/>
      <c r="J1680" s="1"/>
      <c r="K1680" s="1"/>
      <c r="O1680" s="1"/>
    </row>
    <row r="1681" spans="1:15" ht="15.75" customHeight="1">
      <c r="A1681" s="1"/>
      <c r="B1681" s="1"/>
      <c r="C1681" s="1"/>
      <c r="D1681" s="1"/>
      <c r="E1681" s="1"/>
      <c r="F1681" s="1"/>
      <c r="H1681" s="1"/>
      <c r="I1681" s="1"/>
      <c r="J1681" s="1"/>
      <c r="K1681" s="1"/>
      <c r="O1681" s="1"/>
    </row>
    <row r="1682" spans="1:15" ht="15.75" customHeight="1">
      <c r="A1682" s="1"/>
      <c r="B1682" s="1"/>
      <c r="C1682" s="1"/>
      <c r="D1682" s="1"/>
      <c r="E1682" s="1"/>
      <c r="F1682" s="1"/>
      <c r="H1682" s="1"/>
      <c r="I1682" s="1"/>
      <c r="J1682" s="1"/>
      <c r="K1682" s="1"/>
      <c r="O1682" s="1"/>
    </row>
    <row r="1683" spans="1:15" ht="15.75" customHeight="1">
      <c r="A1683" s="1"/>
      <c r="B1683" s="1"/>
      <c r="C1683" s="1"/>
      <c r="D1683" s="1"/>
      <c r="E1683" s="1"/>
      <c r="F1683" s="1"/>
      <c r="H1683" s="1"/>
      <c r="I1683" s="1"/>
      <c r="J1683" s="1"/>
      <c r="K1683" s="1"/>
      <c r="O1683" s="1"/>
    </row>
    <row r="1684" spans="1:15" ht="15.75" customHeight="1">
      <c r="A1684" s="1"/>
      <c r="B1684" s="1"/>
      <c r="C1684" s="1"/>
      <c r="D1684" s="1"/>
      <c r="E1684" s="1"/>
      <c r="F1684" s="1"/>
      <c r="G1684" s="1"/>
      <c r="H1684" s="1"/>
      <c r="I1684" s="1"/>
      <c r="J1684" s="1"/>
      <c r="K1684" s="1"/>
    </row>
    <row r="1685" spans="1:15" ht="15.75" customHeight="1">
      <c r="A1685" s="1"/>
      <c r="B1685" s="1"/>
      <c r="C1685" s="1"/>
      <c r="D1685" s="1"/>
      <c r="E1685" s="1"/>
      <c r="F1685" s="1"/>
      <c r="H1685" s="1"/>
      <c r="I1685" s="1"/>
      <c r="J1685" s="1"/>
      <c r="K1685" s="1"/>
      <c r="O1685" s="1"/>
    </row>
    <row r="1686" spans="1:15" ht="15.75" customHeight="1">
      <c r="A1686" s="1"/>
      <c r="B1686" s="1"/>
      <c r="C1686" s="1"/>
      <c r="D1686" s="1"/>
      <c r="E1686" s="1"/>
      <c r="F1686" s="1"/>
      <c r="H1686" s="1"/>
      <c r="I1686" s="1"/>
      <c r="J1686" s="1"/>
      <c r="K1686" s="1"/>
      <c r="O1686" s="1"/>
    </row>
    <row r="1687" spans="1:15" ht="15.75" customHeight="1">
      <c r="A1687" s="1"/>
      <c r="B1687" s="1"/>
      <c r="C1687" s="1"/>
      <c r="D1687" s="1"/>
      <c r="E1687" s="1"/>
      <c r="F1687" s="1"/>
      <c r="H1687" s="1"/>
      <c r="I1687" s="1"/>
      <c r="J1687" s="1"/>
      <c r="K1687" s="1"/>
    </row>
    <row r="1688" spans="1:15" ht="15.75" customHeight="1">
      <c r="A1688" s="1"/>
      <c r="B1688" s="1"/>
      <c r="C1688" s="1"/>
      <c r="D1688" s="1"/>
      <c r="E1688" s="1"/>
      <c r="F1688" s="1"/>
      <c r="H1688" s="1"/>
      <c r="I1688" s="1"/>
      <c r="J1688" s="1"/>
      <c r="K1688" s="1"/>
      <c r="O1688" s="1"/>
    </row>
    <row r="1689" spans="1:15" ht="15.75" customHeight="1">
      <c r="A1689" s="1"/>
      <c r="B1689" s="1"/>
      <c r="C1689" s="1"/>
      <c r="D1689" s="1"/>
      <c r="E1689" s="1"/>
      <c r="F1689" s="1"/>
      <c r="H1689" s="1"/>
      <c r="I1689" s="1"/>
      <c r="K1689" s="1"/>
      <c r="O1689" s="1"/>
    </row>
    <row r="1690" spans="1:15" ht="15.75" customHeight="1">
      <c r="A1690" s="1"/>
      <c r="B1690" s="1"/>
      <c r="C1690" s="1"/>
      <c r="D1690" s="1"/>
      <c r="E1690" s="1"/>
      <c r="F1690" s="1"/>
      <c r="H1690" s="1"/>
      <c r="I1690" s="1"/>
      <c r="J1690" s="1"/>
      <c r="K1690" s="1"/>
      <c r="O1690" s="1"/>
    </row>
    <row r="1691" spans="1:15" ht="15.75" customHeight="1">
      <c r="A1691" s="1"/>
      <c r="B1691" s="1"/>
      <c r="C1691" s="1"/>
      <c r="D1691" s="1"/>
      <c r="E1691" s="1"/>
      <c r="F1691" s="1"/>
      <c r="H1691" s="1"/>
      <c r="I1691" s="1"/>
      <c r="J1691" s="1"/>
      <c r="K1691" s="1"/>
      <c r="O1691" s="1"/>
    </row>
    <row r="1692" spans="1:15" ht="15.75" customHeight="1">
      <c r="A1692" s="1"/>
      <c r="B1692" s="1"/>
      <c r="C1692" s="1"/>
      <c r="D1692" s="1"/>
      <c r="E1692" s="1"/>
      <c r="F1692" s="1"/>
      <c r="H1692" s="1"/>
      <c r="I1692" s="1"/>
      <c r="J1692" s="1"/>
      <c r="K1692" s="1"/>
      <c r="O1692" s="1"/>
    </row>
    <row r="1693" spans="1:15" ht="15.75" customHeight="1">
      <c r="A1693" s="1"/>
      <c r="B1693" s="1"/>
      <c r="C1693" s="1"/>
      <c r="D1693" s="1"/>
      <c r="E1693" s="1"/>
      <c r="F1693" s="1"/>
      <c r="H1693" s="1"/>
      <c r="I1693" s="1"/>
      <c r="J1693" s="1"/>
      <c r="K1693" s="1"/>
      <c r="O1693" s="1"/>
    </row>
    <row r="1694" spans="1:15" ht="15.75" customHeight="1">
      <c r="A1694" s="1"/>
      <c r="B1694" s="1"/>
      <c r="C1694" s="1"/>
      <c r="D1694" s="1"/>
      <c r="E1694" s="1"/>
      <c r="F1694" s="1"/>
      <c r="H1694" s="1"/>
      <c r="I1694" s="1"/>
      <c r="J1694" s="1"/>
      <c r="K1694" s="1"/>
      <c r="O1694" s="1"/>
    </row>
    <row r="1695" spans="1:15" ht="15.75" customHeight="1">
      <c r="A1695" s="1"/>
      <c r="B1695" s="1"/>
      <c r="C1695" s="1"/>
      <c r="D1695" s="1"/>
      <c r="E1695" s="1"/>
      <c r="F1695" s="1"/>
      <c r="G1695" s="1"/>
      <c r="H1695" s="1"/>
      <c r="I1695" s="1"/>
      <c r="J1695" s="1"/>
      <c r="O1695" s="1"/>
    </row>
    <row r="1696" spans="1:15" ht="15.75" customHeight="1">
      <c r="A1696" s="1"/>
      <c r="B1696" s="1"/>
      <c r="C1696" s="1"/>
      <c r="D1696" s="1"/>
      <c r="E1696" s="1"/>
      <c r="F1696" s="1"/>
      <c r="H1696" s="1"/>
      <c r="I1696" s="1"/>
      <c r="J1696" s="1"/>
      <c r="O1696" s="1"/>
    </row>
    <row r="1697" spans="1:15" ht="15.75" customHeight="1">
      <c r="A1697" s="1"/>
      <c r="B1697" s="1"/>
      <c r="C1697" s="1"/>
      <c r="D1697" s="1"/>
      <c r="E1697" s="1"/>
      <c r="F1697" s="1"/>
      <c r="H1697" s="1"/>
      <c r="I1697" s="1"/>
      <c r="J1697" s="1"/>
      <c r="K1697" s="1"/>
      <c r="O1697" s="1"/>
    </row>
    <row r="1698" spans="1:15" ht="15.75" customHeight="1">
      <c r="A1698" s="1"/>
      <c r="B1698" s="1"/>
      <c r="C1698" s="1"/>
      <c r="D1698" s="1"/>
      <c r="E1698" s="1"/>
      <c r="F1698" s="1"/>
      <c r="H1698" s="1"/>
      <c r="I1698" s="1"/>
      <c r="J1698" s="1"/>
      <c r="K1698" s="1"/>
      <c r="O1698" s="1"/>
    </row>
    <row r="1699" spans="1:15" ht="15.75" customHeight="1">
      <c r="A1699" s="1"/>
      <c r="B1699" s="1"/>
      <c r="C1699" s="1"/>
      <c r="D1699" s="1"/>
      <c r="E1699" s="1"/>
      <c r="F1699" s="1"/>
      <c r="H1699" s="1"/>
      <c r="I1699" s="1"/>
      <c r="K1699" s="1"/>
      <c r="O1699" s="1"/>
    </row>
    <row r="1700" spans="1:15" ht="15.75" customHeight="1">
      <c r="A1700" s="1"/>
      <c r="B1700" s="1"/>
      <c r="C1700" s="1"/>
      <c r="D1700" s="1"/>
      <c r="E1700" s="1"/>
      <c r="F1700" s="1"/>
      <c r="H1700" s="1"/>
      <c r="I1700" s="1"/>
      <c r="J1700" s="1"/>
      <c r="O1700" s="1"/>
    </row>
    <row r="1701" spans="1:15" ht="15.75" customHeight="1">
      <c r="A1701" s="1"/>
      <c r="B1701" s="1"/>
      <c r="C1701" s="1"/>
      <c r="D1701" s="1"/>
      <c r="E1701" s="1"/>
      <c r="F1701" s="1"/>
      <c r="H1701" s="1"/>
      <c r="I1701" s="1"/>
      <c r="J1701" s="1"/>
      <c r="K1701" s="1"/>
      <c r="O1701" s="1"/>
    </row>
    <row r="1702" spans="1:15" ht="15.75" customHeight="1">
      <c r="A1702" s="1"/>
      <c r="B1702" s="1"/>
      <c r="C1702" s="1"/>
      <c r="D1702" s="1"/>
      <c r="E1702" s="1"/>
      <c r="F1702" s="1"/>
      <c r="G1702" s="1"/>
      <c r="H1702" s="1"/>
      <c r="I1702" s="1"/>
      <c r="J1702" s="1"/>
      <c r="O1702" s="1"/>
    </row>
    <row r="1703" spans="1:15" ht="15.75" customHeight="1">
      <c r="A1703" s="1"/>
      <c r="B1703" s="1"/>
      <c r="C1703" s="1"/>
      <c r="D1703" s="1"/>
      <c r="E1703" s="1"/>
      <c r="F1703" s="1"/>
      <c r="H1703" s="1"/>
      <c r="I1703" s="1"/>
      <c r="J1703" s="1"/>
      <c r="K1703" s="1"/>
      <c r="O1703" s="1"/>
    </row>
    <row r="1704" spans="1:15" ht="15.75" customHeight="1">
      <c r="A1704" s="1"/>
      <c r="B1704" s="1"/>
      <c r="C1704" s="1"/>
      <c r="D1704" s="1"/>
      <c r="E1704" s="1"/>
      <c r="F1704" s="1"/>
      <c r="H1704" s="1"/>
      <c r="I1704" s="1"/>
      <c r="J1704" s="1"/>
      <c r="K1704" s="1"/>
      <c r="O1704" s="1"/>
    </row>
    <row r="1705" spans="1:15" ht="15.75" customHeight="1">
      <c r="A1705" s="1"/>
      <c r="B1705" s="1"/>
      <c r="C1705" s="1"/>
      <c r="D1705" s="1"/>
      <c r="E1705" s="1"/>
      <c r="F1705" s="1"/>
      <c r="G1705" s="1"/>
      <c r="H1705" s="1"/>
      <c r="I1705" s="1"/>
      <c r="J1705" s="1"/>
      <c r="K1705" s="1"/>
    </row>
    <row r="1706" spans="1:15" ht="15.75" customHeight="1">
      <c r="A1706" s="1"/>
      <c r="B1706" s="1"/>
      <c r="C1706" s="1"/>
      <c r="D1706" s="1"/>
      <c r="E1706" s="1"/>
      <c r="F1706" s="1"/>
      <c r="H1706" s="1"/>
      <c r="I1706" s="1"/>
      <c r="J1706" s="1"/>
      <c r="K1706" s="1"/>
      <c r="O1706" s="1"/>
    </row>
    <row r="1707" spans="1:15" ht="15.75" customHeight="1">
      <c r="A1707" s="1"/>
      <c r="B1707" s="1"/>
      <c r="C1707" s="1"/>
      <c r="D1707" s="1"/>
      <c r="E1707" s="1"/>
      <c r="F1707" s="1"/>
      <c r="H1707" s="1"/>
      <c r="I1707" s="1"/>
      <c r="J1707" s="1"/>
      <c r="K1707" s="1"/>
      <c r="O1707" s="1"/>
    </row>
    <row r="1708" spans="1:15" ht="15.75" customHeight="1">
      <c r="A1708" s="1"/>
      <c r="B1708" s="1"/>
      <c r="C1708" s="1"/>
      <c r="D1708" s="1"/>
      <c r="E1708" s="1"/>
      <c r="F1708" s="1"/>
      <c r="G1708" s="1"/>
      <c r="H1708" s="1"/>
      <c r="I1708" s="1"/>
      <c r="J1708" s="1"/>
      <c r="O1708" s="1"/>
    </row>
    <row r="1709" spans="1:15" ht="15.75" customHeight="1">
      <c r="A1709" s="1"/>
      <c r="B1709" s="1"/>
      <c r="C1709" s="1"/>
      <c r="D1709" s="1"/>
      <c r="E1709" s="1"/>
      <c r="F1709" s="1"/>
      <c r="H1709" s="1"/>
      <c r="I1709" s="1"/>
      <c r="J1709" s="1"/>
      <c r="O1709" s="1"/>
    </row>
    <row r="1710" spans="1:15" ht="15.75" customHeight="1">
      <c r="A1710" s="1"/>
      <c r="B1710" s="1"/>
      <c r="C1710" s="1"/>
      <c r="D1710" s="1"/>
      <c r="E1710" s="1"/>
      <c r="F1710" s="1"/>
      <c r="H1710" s="1"/>
      <c r="I1710" s="1"/>
      <c r="J1710" s="1"/>
      <c r="K1710" s="1"/>
      <c r="O1710" s="1"/>
    </row>
    <row r="1711" spans="1:15" ht="15.75" customHeight="1">
      <c r="A1711" s="1"/>
      <c r="B1711" s="1"/>
      <c r="C1711" s="1"/>
      <c r="D1711" s="1"/>
      <c r="E1711" s="1"/>
      <c r="F1711" s="1"/>
      <c r="H1711" s="1"/>
      <c r="I1711" s="1"/>
      <c r="J1711" s="1"/>
      <c r="K1711" s="1"/>
      <c r="O1711" s="1"/>
    </row>
    <row r="1712" spans="1:15" ht="15.75" customHeight="1">
      <c r="A1712" s="1"/>
      <c r="B1712" s="1"/>
      <c r="C1712" s="1"/>
      <c r="D1712" s="1"/>
      <c r="E1712" s="1"/>
      <c r="F1712" s="1"/>
      <c r="G1712" s="1"/>
      <c r="H1712" s="1"/>
      <c r="I1712" s="1"/>
      <c r="K1712" s="1"/>
      <c r="O1712" s="1"/>
    </row>
    <row r="1713" spans="1:16" ht="15.75" customHeight="1">
      <c r="A1713" s="1"/>
      <c r="B1713" s="1"/>
      <c r="C1713" s="1"/>
      <c r="D1713" s="1"/>
      <c r="E1713" s="1"/>
      <c r="F1713" s="1"/>
      <c r="H1713" s="1"/>
      <c r="I1713" s="1"/>
      <c r="K1713" s="1"/>
      <c r="O1713" s="1"/>
    </row>
    <row r="1714" spans="1:16" ht="15.75" customHeight="1">
      <c r="A1714" s="1"/>
      <c r="B1714" s="1"/>
      <c r="C1714" s="1"/>
      <c r="D1714" s="1"/>
      <c r="E1714" s="1"/>
      <c r="F1714" s="1"/>
      <c r="H1714" s="1"/>
      <c r="I1714" s="1"/>
      <c r="J1714" s="1"/>
      <c r="K1714" s="1"/>
      <c r="O1714" s="1"/>
    </row>
    <row r="1715" spans="1:16" ht="15.75" customHeight="1">
      <c r="A1715" s="1"/>
      <c r="B1715" s="1"/>
      <c r="C1715" s="1"/>
      <c r="D1715" s="1"/>
      <c r="E1715" s="1"/>
      <c r="F1715" s="1"/>
      <c r="G1715" s="1"/>
      <c r="H1715" s="1"/>
      <c r="I1715" s="1"/>
      <c r="J1715" s="1"/>
      <c r="O1715" s="1"/>
    </row>
    <row r="1716" spans="1:16" ht="15.75" customHeight="1">
      <c r="A1716" s="1"/>
      <c r="B1716" s="1"/>
      <c r="C1716" s="1"/>
      <c r="D1716" s="1"/>
      <c r="E1716" s="1"/>
      <c r="F1716" s="1"/>
      <c r="H1716" s="1"/>
      <c r="I1716" s="1"/>
      <c r="O1716" s="1"/>
    </row>
    <row r="1717" spans="1:16" ht="15.75" customHeight="1">
      <c r="A1717" s="1"/>
      <c r="B1717" s="1"/>
      <c r="C1717" s="1"/>
      <c r="D1717" s="1"/>
      <c r="E1717" s="1"/>
      <c r="F1717" s="1"/>
      <c r="H1717" s="1"/>
      <c r="I1717" s="1"/>
      <c r="J1717" s="1"/>
      <c r="K1717" s="1"/>
      <c r="O1717" s="1"/>
    </row>
    <row r="1718" spans="1:16" ht="15.75" customHeight="1">
      <c r="A1718" s="1"/>
      <c r="B1718" s="1"/>
      <c r="C1718" s="1"/>
      <c r="D1718" s="1"/>
      <c r="F1718" s="1"/>
      <c r="H1718" s="1"/>
      <c r="I1718" s="1"/>
      <c r="J1718" s="1"/>
      <c r="K1718" s="1"/>
      <c r="O1718" s="1"/>
    </row>
    <row r="1719" spans="1:16" ht="15.75" customHeight="1">
      <c r="A1719" s="1"/>
      <c r="B1719" s="1"/>
      <c r="C1719" s="1"/>
      <c r="D1719" s="1"/>
      <c r="E1719" s="1"/>
      <c r="F1719" s="1"/>
      <c r="H1719" s="1"/>
      <c r="I1719" s="1"/>
      <c r="K1719" s="1"/>
      <c r="O1719" s="1"/>
    </row>
    <row r="1720" spans="1:16" ht="15.75" customHeight="1">
      <c r="A1720" s="1"/>
      <c r="B1720" s="1"/>
      <c r="C1720" s="1"/>
      <c r="D1720" s="1"/>
      <c r="E1720" s="1"/>
      <c r="F1720" s="1"/>
      <c r="H1720" s="1"/>
      <c r="I1720" s="1"/>
      <c r="J1720" s="1"/>
      <c r="K1720" s="1"/>
      <c r="O1720" s="1"/>
    </row>
    <row r="1721" spans="1:16" ht="15.75" customHeight="1">
      <c r="A1721" s="1"/>
      <c r="B1721" s="1"/>
      <c r="C1721" s="1"/>
      <c r="D1721" s="1"/>
      <c r="E1721" s="1"/>
      <c r="F1721" s="1"/>
      <c r="H1721" s="1"/>
      <c r="I1721" s="1"/>
      <c r="J1721" s="1"/>
      <c r="K1721" s="1"/>
      <c r="O1721" s="1"/>
    </row>
    <row r="1722" spans="1:16" ht="15.75" customHeight="1">
      <c r="A1722" s="1"/>
      <c r="B1722" s="1"/>
      <c r="C1722" s="1"/>
      <c r="D1722" s="1"/>
      <c r="F1722" s="1"/>
      <c r="H1722" s="1"/>
      <c r="I1722" s="1"/>
      <c r="J1722" s="1"/>
      <c r="K1722" s="1"/>
      <c r="O1722" s="1"/>
    </row>
    <row r="1723" spans="1:16" ht="15.75" customHeight="1">
      <c r="A1723" s="1"/>
      <c r="B1723" s="1"/>
      <c r="C1723" s="1"/>
      <c r="D1723" s="1"/>
      <c r="E1723" s="1"/>
      <c r="F1723" s="1"/>
      <c r="H1723" s="1"/>
      <c r="I1723" s="1"/>
      <c r="J1723" s="1"/>
      <c r="K1723" s="1"/>
      <c r="O1723" s="1"/>
    </row>
    <row r="1724" spans="1:16" ht="15.75" customHeight="1">
      <c r="A1724" s="1"/>
      <c r="B1724" s="1"/>
      <c r="C1724" s="1"/>
      <c r="D1724" s="1"/>
      <c r="E1724" s="1"/>
      <c r="F1724" s="1"/>
      <c r="H1724" s="1"/>
      <c r="I1724" s="1"/>
      <c r="J1724" s="1"/>
      <c r="K1724" s="1"/>
      <c r="O1724" s="1"/>
    </row>
    <row r="1725" spans="1:16" ht="15.75" customHeight="1">
      <c r="A1725" s="1"/>
      <c r="B1725" s="1"/>
      <c r="C1725" s="1"/>
      <c r="D1725" s="1"/>
      <c r="E1725" s="1"/>
      <c r="F1725" s="1"/>
      <c r="G1725" s="1"/>
      <c r="H1725" s="1"/>
      <c r="I1725" s="1"/>
      <c r="J1725" s="1"/>
      <c r="K1725" s="1"/>
      <c r="L1725" s="1"/>
      <c r="M1725" s="1"/>
      <c r="N1725" s="1"/>
      <c r="O1725" s="1"/>
      <c r="P1725" s="5"/>
    </row>
    <row r="1726" spans="1:16" ht="15.75" customHeight="1">
      <c r="A1726" s="1"/>
      <c r="B1726" s="1"/>
      <c r="C1726" s="1"/>
      <c r="D1726" s="1"/>
      <c r="E1726" s="1"/>
      <c r="F1726" s="1"/>
      <c r="H1726" s="1"/>
      <c r="I1726" s="1"/>
      <c r="J1726" s="1"/>
      <c r="K1726" s="1"/>
      <c r="O1726" s="1"/>
    </row>
    <row r="1727" spans="1:16" ht="15.75" customHeight="1">
      <c r="A1727" s="1"/>
      <c r="B1727" s="1"/>
      <c r="C1727" s="1"/>
      <c r="D1727" s="1"/>
      <c r="E1727" s="1"/>
      <c r="F1727" s="1"/>
      <c r="H1727" s="1"/>
      <c r="I1727" s="1"/>
      <c r="J1727" s="1"/>
      <c r="K1727" s="1"/>
      <c r="O1727" s="1"/>
    </row>
    <row r="1728" spans="1:16" ht="15.75" customHeight="1">
      <c r="A1728" s="1"/>
      <c r="B1728" s="1"/>
      <c r="C1728" s="1"/>
      <c r="D1728" s="1"/>
      <c r="E1728" s="1"/>
      <c r="F1728" s="1"/>
      <c r="H1728" s="1"/>
      <c r="I1728" s="1"/>
      <c r="J1728" s="1"/>
      <c r="K1728" s="1"/>
      <c r="O1728" s="1"/>
    </row>
    <row r="1729" spans="1:15" ht="15.75" customHeight="1">
      <c r="A1729" s="1"/>
      <c r="B1729" s="1"/>
      <c r="C1729" s="1"/>
      <c r="D1729" s="1"/>
      <c r="E1729" s="1"/>
      <c r="F1729" s="1"/>
      <c r="H1729" s="1"/>
      <c r="I1729" s="1"/>
      <c r="J1729" s="1"/>
      <c r="K1729" s="1"/>
      <c r="O1729" s="1"/>
    </row>
    <row r="1730" spans="1:15" ht="15.75" customHeight="1">
      <c r="A1730" s="1"/>
      <c r="B1730" s="1"/>
      <c r="C1730" s="1"/>
      <c r="D1730" s="1"/>
      <c r="F1730" s="1"/>
      <c r="H1730" s="1"/>
      <c r="I1730" s="1"/>
      <c r="J1730" s="1"/>
      <c r="K1730" s="1"/>
      <c r="O1730" s="1"/>
    </row>
    <row r="1731" spans="1:15" ht="15.75" customHeight="1">
      <c r="A1731" s="1"/>
      <c r="B1731" s="1"/>
      <c r="C1731" s="1"/>
      <c r="D1731" s="1"/>
      <c r="E1731" s="1"/>
      <c r="F1731" s="1"/>
      <c r="H1731" s="1"/>
      <c r="I1731" s="1"/>
      <c r="J1731" s="1"/>
      <c r="O1731" s="1"/>
    </row>
    <row r="1732" spans="1:15" ht="15.75" customHeight="1">
      <c r="A1732" s="1"/>
      <c r="B1732" s="1"/>
      <c r="C1732" s="1"/>
      <c r="D1732" s="1"/>
      <c r="E1732" s="1"/>
      <c r="F1732" s="1"/>
      <c r="H1732" s="1"/>
      <c r="I1732" s="1"/>
      <c r="J1732" s="1"/>
      <c r="K1732" s="1"/>
      <c r="O1732" s="1"/>
    </row>
    <row r="1733" spans="1:15" ht="15.75" customHeight="1">
      <c r="A1733" s="1"/>
      <c r="B1733" s="1"/>
      <c r="C1733" s="1"/>
      <c r="D1733" s="1"/>
      <c r="E1733" s="1"/>
      <c r="F1733" s="1"/>
      <c r="H1733" s="1"/>
      <c r="I1733" s="1"/>
      <c r="J1733" s="1"/>
      <c r="K1733" s="1"/>
      <c r="O1733" s="1"/>
    </row>
    <row r="1734" spans="1:15" ht="15.75" customHeight="1">
      <c r="A1734" s="1"/>
      <c r="B1734" s="1"/>
      <c r="C1734" s="1"/>
      <c r="D1734" s="1"/>
      <c r="E1734" s="1"/>
      <c r="F1734" s="1"/>
      <c r="H1734" s="1"/>
      <c r="I1734" s="1"/>
      <c r="J1734" s="1"/>
      <c r="K1734" s="1"/>
      <c r="O1734" s="1"/>
    </row>
    <row r="1735" spans="1:15" ht="15.75" customHeight="1">
      <c r="A1735" s="1"/>
      <c r="B1735" s="1"/>
      <c r="C1735" s="1"/>
      <c r="D1735" s="1"/>
      <c r="E1735" s="1"/>
      <c r="F1735" s="1"/>
      <c r="H1735" s="1"/>
      <c r="I1735" s="1"/>
      <c r="J1735" s="1"/>
      <c r="K1735" s="1"/>
      <c r="O1735" s="1"/>
    </row>
    <row r="1736" spans="1:15" ht="15.75" customHeight="1">
      <c r="A1736" s="1"/>
      <c r="B1736" s="1"/>
      <c r="C1736" s="1"/>
      <c r="D1736" s="1"/>
      <c r="E1736" s="1"/>
      <c r="F1736" s="1"/>
      <c r="H1736" s="1"/>
      <c r="I1736" s="1"/>
      <c r="J1736" s="1"/>
      <c r="K1736" s="1"/>
      <c r="O1736" s="1"/>
    </row>
    <row r="1737" spans="1:15" ht="15.75" customHeight="1">
      <c r="A1737" s="1"/>
      <c r="B1737" s="1"/>
      <c r="C1737" s="1"/>
      <c r="D1737" s="1"/>
      <c r="E1737" s="1"/>
      <c r="F1737" s="1"/>
      <c r="H1737" s="1"/>
      <c r="I1737" s="1"/>
      <c r="J1737" s="1"/>
      <c r="K1737" s="1"/>
      <c r="O1737" s="1"/>
    </row>
    <row r="1738" spans="1:15" ht="15.75" customHeight="1">
      <c r="A1738" s="1"/>
      <c r="B1738" s="1"/>
      <c r="C1738" s="1"/>
      <c r="D1738" s="1"/>
      <c r="E1738" s="1"/>
      <c r="F1738" s="1"/>
      <c r="G1738" s="1"/>
      <c r="H1738" s="1"/>
      <c r="I1738" s="1"/>
      <c r="J1738" s="1"/>
      <c r="K1738" s="1"/>
      <c r="O1738" s="1"/>
    </row>
    <row r="1739" spans="1:15" ht="15.75" customHeight="1">
      <c r="A1739" s="1"/>
      <c r="B1739" s="1"/>
      <c r="C1739" s="1"/>
      <c r="D1739" s="1"/>
      <c r="E1739" s="1"/>
      <c r="F1739" s="1"/>
      <c r="H1739" s="1"/>
      <c r="I1739" s="1"/>
      <c r="J1739" s="1"/>
      <c r="K1739" s="1"/>
      <c r="O1739" s="1"/>
    </row>
    <row r="1740" spans="1:15" ht="15.75" customHeight="1">
      <c r="A1740" s="1"/>
      <c r="B1740" s="1"/>
      <c r="C1740" s="1"/>
      <c r="D1740" s="1"/>
      <c r="E1740" s="1"/>
      <c r="F1740" s="1"/>
      <c r="G1740" s="1"/>
      <c r="H1740" s="1"/>
      <c r="I1740" s="1"/>
      <c r="J1740" s="1"/>
      <c r="O1740" s="1"/>
    </row>
    <row r="1741" spans="1:15" ht="15.75" customHeight="1">
      <c r="A1741" s="1"/>
      <c r="B1741" s="1"/>
      <c r="C1741" s="1"/>
      <c r="D1741" s="1"/>
      <c r="E1741" s="1"/>
      <c r="F1741" s="1"/>
      <c r="H1741" s="1"/>
      <c r="I1741" s="1"/>
      <c r="J1741" s="1"/>
      <c r="K1741" s="1"/>
      <c r="O1741" s="1"/>
    </row>
    <row r="1742" spans="1:15" ht="15.75" customHeight="1">
      <c r="A1742" s="1"/>
      <c r="B1742" s="1"/>
      <c r="C1742" s="1"/>
      <c r="D1742" s="1"/>
      <c r="E1742" s="1"/>
      <c r="F1742" s="1"/>
      <c r="H1742" s="1"/>
      <c r="I1742" s="1"/>
      <c r="O1742" s="1"/>
    </row>
    <row r="1743" spans="1:15" ht="15.75" customHeight="1">
      <c r="A1743" s="1"/>
      <c r="B1743" s="1"/>
      <c r="C1743" s="1"/>
      <c r="D1743" s="1"/>
      <c r="E1743" s="1"/>
      <c r="F1743" s="1"/>
      <c r="H1743" s="1"/>
      <c r="I1743" s="1"/>
      <c r="K1743" s="1"/>
      <c r="O1743" s="1"/>
    </row>
    <row r="1744" spans="1:15" ht="15.75" customHeight="1">
      <c r="A1744" s="1"/>
      <c r="B1744" s="1"/>
      <c r="C1744" s="1"/>
      <c r="D1744" s="1"/>
      <c r="E1744" s="1"/>
      <c r="F1744" s="1"/>
      <c r="H1744" s="1"/>
      <c r="I1744" s="1"/>
      <c r="J1744" s="1"/>
      <c r="O1744" s="1"/>
    </row>
    <row r="1745" spans="1:15" ht="15.75" customHeight="1">
      <c r="A1745" s="1"/>
      <c r="B1745" s="1"/>
      <c r="C1745" s="1"/>
      <c r="D1745" s="1"/>
      <c r="E1745" s="1"/>
      <c r="F1745" s="1"/>
      <c r="H1745" s="1"/>
      <c r="I1745" s="1"/>
      <c r="J1745" s="1"/>
      <c r="K1745" s="1"/>
      <c r="O1745" s="1"/>
    </row>
    <row r="1746" spans="1:15" ht="15.75" customHeight="1">
      <c r="A1746" s="1"/>
      <c r="B1746" s="1"/>
      <c r="C1746" s="1"/>
      <c r="D1746" s="1"/>
      <c r="E1746" s="1"/>
      <c r="F1746" s="1"/>
      <c r="H1746" s="1"/>
      <c r="I1746" s="1"/>
      <c r="K1746" s="1"/>
      <c r="O1746" s="1"/>
    </row>
    <row r="1747" spans="1:15" ht="15.75" customHeight="1">
      <c r="A1747" s="1"/>
      <c r="B1747" s="1"/>
      <c r="C1747" s="1"/>
      <c r="D1747" s="1"/>
      <c r="E1747" s="1"/>
      <c r="F1747" s="1"/>
      <c r="H1747" s="1"/>
      <c r="I1747" s="1"/>
      <c r="J1747" s="1"/>
      <c r="K1747" s="1"/>
      <c r="O1747" s="1"/>
    </row>
    <row r="1748" spans="1:15" ht="15.75" customHeight="1">
      <c r="A1748" s="1"/>
      <c r="B1748" s="1"/>
      <c r="C1748" s="1"/>
      <c r="D1748" s="1"/>
      <c r="E1748" s="1"/>
      <c r="F1748" s="1"/>
      <c r="G1748" s="1"/>
      <c r="H1748" s="1"/>
      <c r="I1748" s="1"/>
      <c r="J1748" s="1"/>
      <c r="K1748" s="1"/>
      <c r="O1748" s="1"/>
    </row>
    <row r="1749" spans="1:15" ht="15.75" customHeight="1">
      <c r="A1749" s="1"/>
      <c r="B1749" s="1"/>
      <c r="C1749" s="1"/>
      <c r="D1749" s="1"/>
      <c r="E1749" s="1"/>
      <c r="F1749" s="1"/>
      <c r="H1749" s="1"/>
      <c r="I1749" s="1"/>
      <c r="J1749" s="1"/>
      <c r="K1749" s="1"/>
      <c r="O1749" s="1"/>
    </row>
    <row r="1750" spans="1:15" ht="15.75" customHeight="1">
      <c r="A1750" s="1"/>
      <c r="B1750" s="1"/>
      <c r="C1750" s="1"/>
      <c r="D1750" s="1"/>
      <c r="E1750" s="1"/>
      <c r="F1750" s="1"/>
      <c r="H1750" s="1"/>
      <c r="I1750" s="1"/>
      <c r="J1750" s="1"/>
      <c r="K1750" s="1"/>
      <c r="O1750" s="1"/>
    </row>
    <row r="1751" spans="1:15" ht="15.75" customHeight="1">
      <c r="A1751" s="1"/>
      <c r="B1751" s="1"/>
      <c r="C1751" s="1"/>
      <c r="D1751" s="1"/>
      <c r="E1751" s="1"/>
      <c r="F1751" s="1"/>
      <c r="H1751" s="1"/>
      <c r="I1751" s="1"/>
      <c r="J1751" s="1"/>
      <c r="K1751" s="1"/>
      <c r="O1751" s="1"/>
    </row>
    <row r="1752" spans="1:15" ht="15.75" customHeight="1">
      <c r="A1752" s="1"/>
      <c r="B1752" s="1"/>
      <c r="C1752" s="1"/>
      <c r="D1752" s="1"/>
      <c r="E1752" s="1"/>
      <c r="F1752" s="1"/>
      <c r="H1752" s="1"/>
      <c r="I1752" s="1"/>
      <c r="J1752" s="1"/>
      <c r="K1752" s="1"/>
      <c r="O1752" s="1"/>
    </row>
    <row r="1753" spans="1:15" ht="15.75" customHeight="1">
      <c r="A1753" s="1"/>
      <c r="B1753" s="1"/>
      <c r="C1753" s="1"/>
      <c r="D1753" s="1"/>
      <c r="E1753" s="1"/>
      <c r="F1753" s="1"/>
      <c r="G1753" s="1"/>
      <c r="H1753" s="1"/>
      <c r="I1753" s="1"/>
      <c r="J1753" s="1"/>
      <c r="K1753" s="1"/>
      <c r="O1753" s="1"/>
    </row>
    <row r="1754" spans="1:15" ht="15.75" customHeight="1">
      <c r="A1754" s="1"/>
      <c r="B1754" s="1"/>
      <c r="C1754" s="1"/>
      <c r="D1754" s="1"/>
      <c r="E1754" s="1"/>
      <c r="F1754" s="1"/>
      <c r="H1754" s="1"/>
      <c r="I1754" s="1"/>
      <c r="J1754" s="1"/>
      <c r="K1754" s="1"/>
      <c r="O1754" s="1"/>
    </row>
    <row r="1755" spans="1:15" ht="15.75" customHeight="1">
      <c r="A1755" s="1"/>
      <c r="B1755" s="1"/>
      <c r="C1755" s="1"/>
      <c r="D1755" s="1"/>
      <c r="E1755" s="1"/>
      <c r="F1755" s="1"/>
      <c r="H1755" s="1"/>
      <c r="I1755" s="1"/>
      <c r="J1755" s="1"/>
      <c r="K1755" s="1"/>
      <c r="O1755" s="1"/>
    </row>
    <row r="1756" spans="1:15" ht="15.75" customHeight="1">
      <c r="A1756" s="1"/>
      <c r="B1756" s="1"/>
      <c r="C1756" s="1"/>
      <c r="D1756" s="1"/>
      <c r="E1756" s="1"/>
      <c r="F1756" s="1"/>
      <c r="H1756" s="1"/>
      <c r="I1756" s="1"/>
      <c r="K1756" s="1"/>
      <c r="O1756" s="1"/>
    </row>
    <row r="1757" spans="1:15" ht="15.75" customHeight="1">
      <c r="A1757" s="1"/>
      <c r="B1757" s="1"/>
      <c r="C1757" s="1"/>
      <c r="D1757" s="1"/>
      <c r="E1757" s="1"/>
      <c r="F1757" s="1"/>
      <c r="H1757" s="1"/>
      <c r="I1757" s="1"/>
      <c r="K1757" s="1"/>
      <c r="O1757" s="1"/>
    </row>
    <row r="1758" spans="1:15" ht="15.75" customHeight="1">
      <c r="A1758" s="1"/>
      <c r="B1758" s="1"/>
      <c r="C1758" s="1"/>
      <c r="D1758" s="1"/>
      <c r="E1758" s="1"/>
      <c r="F1758" s="1"/>
      <c r="H1758" s="1"/>
      <c r="I1758" s="1"/>
      <c r="K1758" s="1"/>
      <c r="O1758" s="1"/>
    </row>
    <row r="1759" spans="1:15" ht="15.75" customHeight="1">
      <c r="A1759" s="1"/>
      <c r="B1759" s="1"/>
      <c r="C1759" s="1"/>
      <c r="D1759" s="1"/>
      <c r="E1759" s="1"/>
      <c r="F1759" s="1"/>
      <c r="H1759" s="1"/>
      <c r="I1759" s="1"/>
      <c r="O1759" s="1"/>
    </row>
    <row r="1760" spans="1:15" ht="15.75" customHeight="1">
      <c r="A1760" s="1"/>
      <c r="B1760" s="1"/>
      <c r="C1760" s="1"/>
      <c r="D1760" s="1"/>
      <c r="E1760" s="1"/>
      <c r="F1760" s="1"/>
      <c r="H1760" s="1"/>
      <c r="I1760" s="1"/>
      <c r="J1760" s="1"/>
      <c r="K1760" s="1"/>
      <c r="O1760" s="1"/>
    </row>
    <row r="1761" spans="1:16" ht="15.75" customHeight="1">
      <c r="A1761" s="1"/>
      <c r="B1761" s="1"/>
      <c r="C1761" s="1"/>
      <c r="D1761" s="1"/>
      <c r="E1761" s="1"/>
      <c r="F1761" s="1"/>
      <c r="H1761" s="1"/>
      <c r="I1761" s="1"/>
      <c r="J1761" s="1"/>
      <c r="K1761" s="1"/>
      <c r="O1761" s="1"/>
    </row>
    <row r="1762" spans="1:16" ht="15.75" customHeight="1">
      <c r="A1762" s="1"/>
      <c r="B1762" s="1"/>
      <c r="C1762" s="1"/>
      <c r="D1762" s="1"/>
      <c r="E1762" s="1"/>
      <c r="F1762" s="1"/>
      <c r="H1762" s="1"/>
      <c r="I1762" s="1"/>
      <c r="K1762" s="1"/>
      <c r="O1762" s="1"/>
    </row>
    <row r="1763" spans="1:16" ht="15.75" customHeight="1">
      <c r="A1763" s="1"/>
      <c r="B1763" s="1"/>
      <c r="C1763" s="1"/>
      <c r="D1763" s="1"/>
      <c r="E1763" s="1"/>
      <c r="F1763" s="1"/>
      <c r="H1763" s="1"/>
      <c r="I1763" s="1"/>
      <c r="J1763" s="1"/>
      <c r="K1763" s="1"/>
    </row>
    <row r="1764" spans="1:16" ht="15.75" customHeight="1">
      <c r="A1764" s="1"/>
      <c r="B1764" s="1"/>
      <c r="C1764" s="1"/>
      <c r="D1764" s="1"/>
      <c r="E1764" s="1"/>
      <c r="F1764" s="1"/>
      <c r="G1764" s="1"/>
      <c r="H1764" s="1"/>
      <c r="I1764" s="1"/>
      <c r="J1764" s="1"/>
      <c r="K1764" s="1"/>
      <c r="L1764" s="1"/>
      <c r="M1764" s="1"/>
      <c r="N1764" s="1"/>
      <c r="O1764" s="1"/>
      <c r="P1764" s="1"/>
    </row>
    <row r="1765" spans="1:16" ht="15.75" customHeight="1">
      <c r="A1765" s="1"/>
      <c r="B1765" s="1"/>
      <c r="C1765" s="1"/>
      <c r="D1765" s="1"/>
      <c r="E1765" s="1"/>
      <c r="F1765" s="1"/>
      <c r="H1765" s="1"/>
      <c r="I1765" s="1"/>
      <c r="J1765" s="1"/>
      <c r="K1765" s="1"/>
    </row>
    <row r="1766" spans="1:16" ht="15.75" customHeight="1">
      <c r="A1766" s="1"/>
      <c r="B1766" s="1"/>
      <c r="C1766" s="1"/>
      <c r="D1766" s="1"/>
      <c r="E1766" s="1"/>
      <c r="F1766" s="1"/>
      <c r="G1766" s="1"/>
      <c r="H1766" s="1"/>
      <c r="I1766" s="1"/>
      <c r="J1766" s="1"/>
      <c r="K1766" s="1"/>
      <c r="O1766" s="1"/>
    </row>
    <row r="1767" spans="1:16" ht="15.75" customHeight="1">
      <c r="A1767" s="1"/>
      <c r="B1767" s="1"/>
      <c r="C1767" s="1"/>
      <c r="D1767" s="1"/>
      <c r="E1767" s="1"/>
      <c r="F1767" s="1"/>
      <c r="H1767" s="1"/>
      <c r="I1767" s="1"/>
      <c r="K1767" s="1"/>
      <c r="O1767" s="1"/>
    </row>
    <row r="1768" spans="1:16" ht="15.75" customHeight="1">
      <c r="A1768" s="1"/>
      <c r="B1768" s="1"/>
      <c r="C1768" s="1"/>
      <c r="D1768" s="1"/>
      <c r="E1768" s="1"/>
      <c r="F1768" s="1"/>
      <c r="G1768" s="1"/>
      <c r="H1768" s="1"/>
      <c r="I1768" s="1"/>
      <c r="K1768" s="1"/>
      <c r="O1768" s="1"/>
    </row>
    <row r="1769" spans="1:16" ht="15.75" customHeight="1">
      <c r="A1769" s="1"/>
      <c r="B1769" s="1"/>
      <c r="C1769" s="1"/>
      <c r="D1769" s="1"/>
      <c r="E1769" s="1"/>
      <c r="F1769" s="1"/>
      <c r="H1769" s="1"/>
      <c r="I1769" s="1"/>
      <c r="J1769" s="1"/>
      <c r="K1769" s="1"/>
      <c r="O1769" s="1"/>
    </row>
    <row r="1770" spans="1:16" ht="15.75" customHeight="1">
      <c r="A1770" s="1"/>
      <c r="B1770" s="1"/>
      <c r="C1770" s="1"/>
      <c r="D1770" s="1"/>
      <c r="E1770" s="1"/>
      <c r="F1770" s="1"/>
      <c r="H1770" s="1"/>
      <c r="I1770" s="1"/>
      <c r="J1770" s="1"/>
      <c r="K1770" s="1"/>
      <c r="O1770" s="1"/>
    </row>
    <row r="1771" spans="1:16" ht="15.75" customHeight="1">
      <c r="A1771" s="1"/>
      <c r="B1771" s="1"/>
      <c r="C1771" s="1"/>
      <c r="D1771" s="1"/>
      <c r="E1771" s="1"/>
      <c r="F1771" s="1"/>
      <c r="H1771" s="1"/>
      <c r="I1771" s="1"/>
      <c r="J1771" s="1"/>
      <c r="K1771" s="1"/>
      <c r="O1771" s="1"/>
    </row>
    <row r="1772" spans="1:16" ht="15.75" customHeight="1">
      <c r="A1772" s="1"/>
      <c r="B1772" s="1"/>
      <c r="C1772" s="1"/>
      <c r="D1772" s="1"/>
      <c r="E1772" s="1"/>
      <c r="F1772" s="1"/>
      <c r="G1772" s="1"/>
      <c r="H1772" s="1"/>
      <c r="I1772" s="1"/>
      <c r="J1772" s="1"/>
      <c r="O1772" s="1"/>
    </row>
    <row r="1773" spans="1:16" ht="15.75" customHeight="1">
      <c r="A1773" s="1"/>
      <c r="B1773" s="1"/>
      <c r="C1773" s="1"/>
      <c r="D1773" s="1"/>
      <c r="E1773" s="1"/>
      <c r="F1773" s="1"/>
      <c r="G1773" s="1"/>
      <c r="H1773" s="1"/>
      <c r="I1773" s="1"/>
      <c r="J1773" s="1"/>
      <c r="O1773" s="1"/>
    </row>
    <row r="1774" spans="1:16" ht="15.75" customHeight="1">
      <c r="A1774" s="1"/>
      <c r="B1774" s="1"/>
      <c r="C1774" s="1"/>
      <c r="D1774" s="1"/>
      <c r="E1774" s="1"/>
      <c r="F1774" s="1"/>
      <c r="H1774" s="1"/>
      <c r="I1774" s="1"/>
      <c r="J1774" s="1"/>
      <c r="K1774" s="1"/>
      <c r="O1774" s="1"/>
    </row>
    <row r="1775" spans="1:16" ht="15.75" customHeight="1">
      <c r="A1775" s="1"/>
      <c r="B1775" s="1"/>
      <c r="C1775" s="1"/>
      <c r="D1775" s="1"/>
      <c r="F1775" s="1"/>
      <c r="H1775" s="1"/>
      <c r="I1775" s="1"/>
      <c r="K1775" s="1"/>
    </row>
    <row r="1776" spans="1:16" ht="15.75" customHeight="1">
      <c r="A1776" s="1"/>
      <c r="B1776" s="1"/>
      <c r="C1776" s="1"/>
      <c r="D1776" s="1"/>
      <c r="E1776" s="1"/>
      <c r="F1776" s="1"/>
      <c r="H1776" s="1"/>
      <c r="I1776" s="1"/>
      <c r="J1776" s="1"/>
      <c r="K1776" s="1"/>
      <c r="O1776" s="1"/>
    </row>
    <row r="1777" spans="1:15" ht="15.75" customHeight="1">
      <c r="A1777" s="1"/>
      <c r="B1777" s="1"/>
      <c r="C1777" s="1"/>
      <c r="D1777" s="1"/>
      <c r="E1777" s="1"/>
      <c r="F1777" s="1"/>
      <c r="H1777" s="1"/>
      <c r="I1777" s="1"/>
      <c r="J1777" s="1"/>
      <c r="O1777" s="1"/>
    </row>
    <row r="1778" spans="1:15" ht="15.75" customHeight="1">
      <c r="A1778" s="1"/>
      <c r="B1778" s="1"/>
      <c r="C1778" s="1"/>
      <c r="D1778" s="1"/>
      <c r="E1778" s="1"/>
      <c r="F1778" s="1"/>
      <c r="H1778" s="1"/>
      <c r="I1778" s="1"/>
      <c r="J1778" s="1"/>
      <c r="K1778" s="1"/>
      <c r="O1778" s="1"/>
    </row>
    <row r="1779" spans="1:15" ht="15.75" customHeight="1">
      <c r="A1779" s="1"/>
      <c r="B1779" s="1"/>
      <c r="C1779" s="1"/>
      <c r="D1779" s="1"/>
      <c r="E1779" s="1"/>
      <c r="F1779" s="1"/>
      <c r="H1779" s="1"/>
      <c r="I1779" s="1"/>
      <c r="K1779" s="1"/>
      <c r="O1779" s="1"/>
    </row>
    <row r="1780" spans="1:15" ht="15.75" customHeight="1">
      <c r="A1780" s="1"/>
      <c r="B1780" s="1"/>
      <c r="C1780" s="1"/>
      <c r="D1780" s="1"/>
      <c r="E1780" s="1"/>
      <c r="F1780" s="1"/>
      <c r="H1780" s="1"/>
      <c r="I1780" s="1"/>
      <c r="J1780" s="1"/>
      <c r="K1780" s="1"/>
      <c r="O1780" s="1"/>
    </row>
    <row r="1781" spans="1:15" ht="15.75" customHeight="1">
      <c r="A1781" s="1"/>
      <c r="B1781" s="1"/>
      <c r="C1781" s="1"/>
      <c r="D1781" s="1"/>
      <c r="E1781" s="1"/>
      <c r="F1781" s="1"/>
      <c r="H1781" s="1"/>
      <c r="I1781" s="1"/>
      <c r="J1781" s="1"/>
      <c r="K1781" s="1"/>
      <c r="O1781" s="1"/>
    </row>
    <row r="1782" spans="1:15" ht="15.75" customHeight="1">
      <c r="A1782" s="1"/>
      <c r="B1782" s="1"/>
      <c r="C1782" s="1"/>
      <c r="D1782" s="1"/>
      <c r="E1782" s="1"/>
      <c r="F1782" s="1"/>
      <c r="H1782" s="1"/>
      <c r="I1782" s="1"/>
      <c r="K1782" s="1"/>
      <c r="O1782" s="1"/>
    </row>
    <row r="1783" spans="1:15" ht="15.75" customHeight="1">
      <c r="A1783" s="1"/>
      <c r="B1783" s="1"/>
      <c r="C1783" s="1"/>
      <c r="D1783" s="1"/>
      <c r="E1783" s="1"/>
      <c r="F1783" s="1"/>
      <c r="H1783" s="1"/>
      <c r="I1783" s="1"/>
      <c r="J1783" s="1"/>
      <c r="K1783" s="1"/>
      <c r="O1783" s="1"/>
    </row>
    <row r="1784" spans="1:15" ht="15.75" customHeight="1">
      <c r="A1784" s="1"/>
      <c r="B1784" s="1"/>
      <c r="C1784" s="1"/>
      <c r="D1784" s="1"/>
      <c r="E1784" s="1"/>
      <c r="F1784" s="1"/>
      <c r="H1784" s="1"/>
      <c r="I1784" s="1"/>
      <c r="J1784" s="1"/>
      <c r="K1784" s="1"/>
      <c r="O1784" s="1"/>
    </row>
    <row r="1785" spans="1:15" ht="15.75" customHeight="1">
      <c r="A1785" s="1"/>
      <c r="B1785" s="1"/>
      <c r="C1785" s="1"/>
      <c r="D1785" s="1"/>
      <c r="E1785" s="1"/>
      <c r="F1785" s="1"/>
      <c r="H1785" s="1"/>
      <c r="I1785" s="1"/>
      <c r="J1785" s="1"/>
      <c r="K1785" s="1"/>
      <c r="O1785" s="1"/>
    </row>
    <row r="1786" spans="1:15" ht="15.75" customHeight="1">
      <c r="A1786" s="1"/>
      <c r="B1786" s="1"/>
      <c r="C1786" s="1"/>
      <c r="D1786" s="1"/>
      <c r="E1786" s="1"/>
      <c r="F1786" s="1"/>
      <c r="G1786" s="1"/>
      <c r="H1786" s="1"/>
      <c r="I1786" s="1"/>
      <c r="J1786" s="1"/>
      <c r="O1786" s="1"/>
    </row>
    <row r="1787" spans="1:15" ht="15.75" customHeight="1">
      <c r="A1787" s="1"/>
      <c r="B1787" s="1"/>
      <c r="C1787" s="1"/>
      <c r="D1787" s="1"/>
      <c r="E1787" s="1"/>
      <c r="F1787" s="1"/>
      <c r="H1787" s="1"/>
      <c r="I1787" s="1"/>
      <c r="J1787" s="1"/>
      <c r="K1787" s="1"/>
      <c r="O1787" s="1"/>
    </row>
    <row r="1788" spans="1:15" ht="15.75" customHeight="1">
      <c r="A1788" s="1"/>
      <c r="B1788" s="1"/>
      <c r="C1788" s="1"/>
      <c r="D1788" s="1"/>
      <c r="E1788" s="1"/>
      <c r="F1788" s="1"/>
      <c r="H1788" s="1"/>
      <c r="I1788" s="1"/>
      <c r="J1788" s="1"/>
      <c r="K1788" s="1"/>
      <c r="O1788" s="1"/>
    </row>
    <row r="1789" spans="1:15" ht="15.75" customHeight="1">
      <c r="A1789" s="1"/>
      <c r="B1789" s="1"/>
      <c r="C1789" s="1"/>
      <c r="D1789" s="1"/>
      <c r="E1789" s="1"/>
      <c r="F1789" s="1"/>
      <c r="H1789" s="1"/>
      <c r="I1789" s="1"/>
      <c r="J1789" s="1"/>
      <c r="K1789" s="1"/>
      <c r="O1789" s="1"/>
    </row>
    <row r="1790" spans="1:15" ht="15.75" customHeight="1">
      <c r="A1790" s="1"/>
      <c r="B1790" s="1"/>
      <c r="C1790" s="1"/>
      <c r="D1790" s="1"/>
      <c r="E1790" s="1"/>
      <c r="F1790" s="1"/>
      <c r="H1790" s="1"/>
      <c r="I1790" s="1"/>
      <c r="K1790" s="1"/>
      <c r="O1790" s="1"/>
    </row>
    <row r="1791" spans="1:15" ht="15.75" customHeight="1">
      <c r="A1791" s="1"/>
      <c r="B1791" s="1"/>
      <c r="C1791" s="1"/>
      <c r="D1791" s="1"/>
      <c r="E1791" s="1"/>
      <c r="F1791" s="1"/>
      <c r="H1791" s="1"/>
      <c r="I1791" s="1"/>
      <c r="J1791" s="1"/>
      <c r="K1791" s="1"/>
      <c r="O1791" s="1"/>
    </row>
    <row r="1792" spans="1:15" ht="15.75" customHeight="1">
      <c r="A1792" s="1"/>
      <c r="B1792" s="1"/>
      <c r="C1792" s="1"/>
      <c r="D1792" s="1"/>
      <c r="E1792" s="1"/>
      <c r="F1792" s="1"/>
      <c r="H1792" s="1"/>
      <c r="I1792" s="1"/>
      <c r="J1792" s="1"/>
      <c r="O1792" s="1"/>
    </row>
    <row r="1793" spans="1:15" ht="15.75" customHeight="1">
      <c r="A1793" s="1"/>
      <c r="B1793" s="1"/>
      <c r="C1793" s="1"/>
      <c r="D1793" s="1"/>
      <c r="E1793" s="1"/>
      <c r="F1793" s="1"/>
      <c r="H1793" s="1"/>
      <c r="I1793" s="1"/>
      <c r="K1793" s="1"/>
    </row>
    <row r="1794" spans="1:15" ht="15.75" customHeight="1">
      <c r="A1794" s="1"/>
      <c r="B1794" s="1"/>
      <c r="C1794" s="1"/>
      <c r="D1794" s="1"/>
      <c r="F1794" s="1"/>
      <c r="H1794" s="1"/>
      <c r="I1794" s="1"/>
      <c r="J1794" s="1"/>
      <c r="K1794" s="1"/>
      <c r="O1794" s="1"/>
    </row>
    <row r="1795" spans="1:15" ht="15.75" customHeight="1">
      <c r="A1795" s="1"/>
      <c r="B1795" s="1"/>
      <c r="C1795" s="1"/>
      <c r="D1795" s="1"/>
      <c r="F1795" s="1"/>
      <c r="H1795" s="1"/>
      <c r="I1795" s="1"/>
      <c r="J1795" s="1"/>
      <c r="K1795" s="1"/>
      <c r="O1795" s="1"/>
    </row>
    <row r="1796" spans="1:15" ht="15.75" customHeight="1">
      <c r="A1796" s="1"/>
      <c r="B1796" s="1"/>
      <c r="C1796" s="1"/>
      <c r="D1796" s="1"/>
      <c r="E1796" s="1"/>
      <c r="F1796" s="1"/>
      <c r="H1796" s="1"/>
      <c r="I1796" s="1"/>
      <c r="J1796" s="1"/>
      <c r="K1796" s="1"/>
      <c r="O1796" s="1"/>
    </row>
    <row r="1797" spans="1:15" ht="15.75" customHeight="1">
      <c r="A1797" s="1"/>
      <c r="B1797" s="1"/>
      <c r="C1797" s="1"/>
      <c r="D1797" s="1"/>
      <c r="E1797" s="1"/>
      <c r="F1797" s="1"/>
      <c r="H1797" s="1"/>
      <c r="I1797" s="1"/>
      <c r="J1797" s="1"/>
      <c r="K1797" s="1"/>
      <c r="O1797" s="1"/>
    </row>
    <row r="1798" spans="1:15" ht="15.75" customHeight="1">
      <c r="A1798" s="1"/>
      <c r="B1798" s="1"/>
      <c r="C1798" s="1"/>
      <c r="D1798" s="1"/>
      <c r="E1798" s="1"/>
      <c r="F1798" s="1"/>
      <c r="H1798" s="1"/>
      <c r="I1798" s="1"/>
      <c r="J1798" s="1"/>
      <c r="K1798" s="1"/>
      <c r="O1798" s="1"/>
    </row>
    <row r="1799" spans="1:15" ht="15.75" customHeight="1">
      <c r="A1799" s="1"/>
      <c r="B1799" s="1"/>
      <c r="C1799" s="1"/>
      <c r="D1799" s="1"/>
      <c r="E1799" s="1"/>
      <c r="F1799" s="1"/>
      <c r="H1799" s="1"/>
      <c r="I1799" s="1"/>
      <c r="J1799" s="1"/>
      <c r="O1799" s="1"/>
    </row>
    <row r="1800" spans="1:15" ht="15.75" customHeight="1">
      <c r="A1800" s="1"/>
      <c r="B1800" s="1"/>
      <c r="C1800" s="1"/>
      <c r="D1800" s="1"/>
      <c r="E1800" s="1"/>
      <c r="F1800" s="1"/>
      <c r="H1800" s="1"/>
      <c r="I1800" s="1"/>
      <c r="O1800" s="1"/>
    </row>
    <row r="1801" spans="1:15" ht="15.75" customHeight="1">
      <c r="A1801" s="1"/>
      <c r="B1801" s="1"/>
      <c r="C1801" s="1"/>
      <c r="D1801" s="1"/>
      <c r="E1801" s="1"/>
      <c r="F1801" s="1"/>
      <c r="H1801" s="1"/>
      <c r="I1801" s="1"/>
      <c r="J1801" s="1"/>
      <c r="K1801" s="1"/>
      <c r="O1801" s="1"/>
    </row>
    <row r="1802" spans="1:15" ht="15.75" customHeight="1">
      <c r="A1802" s="1"/>
      <c r="B1802" s="1"/>
      <c r="C1802" s="1"/>
      <c r="D1802" s="1"/>
      <c r="E1802" s="1"/>
      <c r="F1802" s="1"/>
      <c r="H1802" s="1"/>
      <c r="I1802" s="1"/>
      <c r="J1802" s="1"/>
      <c r="K1802" s="1"/>
      <c r="O1802" s="1"/>
    </row>
    <row r="1803" spans="1:15" ht="15.75" customHeight="1">
      <c r="A1803" s="1"/>
      <c r="B1803" s="1"/>
      <c r="C1803" s="1"/>
      <c r="D1803" s="1"/>
      <c r="E1803" s="1"/>
      <c r="F1803" s="1"/>
      <c r="H1803" s="1"/>
      <c r="I1803" s="1"/>
      <c r="J1803" s="1"/>
      <c r="K1803" s="1"/>
      <c r="O1803" s="1"/>
    </row>
    <row r="1804" spans="1:15" ht="15.75" customHeight="1">
      <c r="A1804" s="1"/>
      <c r="B1804" s="1"/>
      <c r="C1804" s="1"/>
      <c r="D1804" s="1"/>
      <c r="E1804" s="1"/>
      <c r="F1804" s="1"/>
      <c r="H1804" s="1"/>
      <c r="I1804" s="1"/>
      <c r="J1804" s="1"/>
      <c r="K1804" s="1"/>
      <c r="O1804" s="1"/>
    </row>
    <row r="1805" spans="1:15" ht="15.75" customHeight="1">
      <c r="A1805" s="1"/>
      <c r="B1805" s="1"/>
      <c r="C1805" s="1"/>
      <c r="D1805" s="1"/>
      <c r="E1805" s="1"/>
      <c r="F1805" s="1"/>
      <c r="H1805" s="1"/>
      <c r="I1805" s="1"/>
      <c r="K1805" s="1"/>
      <c r="O1805" s="1"/>
    </row>
    <row r="1806" spans="1:15" ht="15.75" customHeight="1">
      <c r="A1806" s="1"/>
      <c r="B1806" s="1"/>
      <c r="C1806" s="1"/>
      <c r="D1806" s="1"/>
      <c r="E1806" s="1"/>
      <c r="F1806" s="1"/>
      <c r="H1806" s="1"/>
      <c r="I1806" s="1"/>
      <c r="K1806" s="1"/>
      <c r="O1806" s="1"/>
    </row>
    <row r="1807" spans="1:15" ht="15.75" customHeight="1">
      <c r="A1807" s="1"/>
      <c r="B1807" s="1"/>
      <c r="C1807" s="1"/>
      <c r="D1807" s="1"/>
      <c r="E1807" s="1"/>
      <c r="F1807" s="1"/>
      <c r="H1807" s="1"/>
      <c r="I1807" s="1"/>
      <c r="J1807" s="1"/>
      <c r="K1807" s="1"/>
      <c r="O1807" s="1"/>
    </row>
    <row r="1808" spans="1:15" ht="15.75" customHeight="1">
      <c r="A1808" s="1"/>
      <c r="B1808" s="1"/>
      <c r="C1808" s="1"/>
      <c r="D1808" s="1"/>
      <c r="E1808" s="1"/>
      <c r="F1808" s="1"/>
      <c r="H1808" s="1"/>
      <c r="I1808" s="1"/>
      <c r="J1808" s="1"/>
      <c r="K1808" s="1"/>
      <c r="O1808" s="1"/>
    </row>
    <row r="1809" spans="1:16" ht="15.75" customHeight="1">
      <c r="A1809" s="1"/>
      <c r="B1809" s="1"/>
      <c r="C1809" s="1"/>
      <c r="D1809" s="1"/>
      <c r="E1809" s="1"/>
      <c r="F1809" s="1"/>
      <c r="H1809" s="1"/>
      <c r="I1809" s="1"/>
      <c r="J1809" s="1"/>
      <c r="K1809" s="1"/>
    </row>
    <row r="1810" spans="1:16" ht="15.75" customHeight="1">
      <c r="A1810" s="1"/>
      <c r="B1810" s="1"/>
      <c r="C1810" s="1"/>
      <c r="D1810" s="1"/>
      <c r="E1810" s="1"/>
      <c r="F1810" s="1"/>
      <c r="H1810" s="1"/>
      <c r="I1810" s="1"/>
      <c r="J1810" s="1"/>
      <c r="K1810" s="1"/>
      <c r="O1810" s="1"/>
    </row>
    <row r="1811" spans="1:16" ht="15.75" customHeight="1">
      <c r="A1811" s="1"/>
      <c r="B1811" s="1"/>
      <c r="C1811" s="1"/>
      <c r="D1811" s="1"/>
      <c r="E1811" s="1"/>
      <c r="F1811" s="1"/>
      <c r="H1811" s="1"/>
      <c r="I1811" s="1"/>
      <c r="J1811" s="1"/>
      <c r="K1811" s="1"/>
      <c r="O1811" s="1"/>
    </row>
    <row r="1812" spans="1:16" ht="15.75" customHeight="1">
      <c r="A1812" s="1"/>
      <c r="B1812" s="1"/>
      <c r="C1812" s="1"/>
      <c r="D1812" s="1"/>
      <c r="E1812" s="1"/>
      <c r="F1812" s="1"/>
      <c r="H1812" s="1"/>
      <c r="I1812" s="1"/>
      <c r="J1812" s="1"/>
      <c r="K1812" s="1"/>
      <c r="O1812" s="1"/>
    </row>
    <row r="1813" spans="1:16" ht="15.75" customHeight="1">
      <c r="A1813" s="1"/>
      <c r="B1813" s="1"/>
      <c r="C1813" s="1"/>
      <c r="D1813" s="1"/>
      <c r="E1813" s="1"/>
      <c r="F1813" s="1"/>
      <c r="H1813" s="1"/>
      <c r="I1813" s="1"/>
      <c r="J1813" s="1"/>
      <c r="K1813" s="1"/>
      <c r="O1813" s="1"/>
    </row>
    <row r="1814" spans="1:16" ht="15.75" customHeight="1">
      <c r="A1814" s="1"/>
      <c r="B1814" s="1"/>
      <c r="C1814" s="1"/>
      <c r="D1814" s="1"/>
      <c r="E1814" s="1"/>
      <c r="F1814" s="1"/>
      <c r="H1814" s="1"/>
      <c r="I1814" s="1"/>
      <c r="J1814" s="1"/>
      <c r="K1814" s="1"/>
      <c r="O1814" s="1"/>
    </row>
    <row r="1815" spans="1:16" ht="15.75" customHeight="1">
      <c r="A1815" s="1"/>
      <c r="B1815" s="1"/>
      <c r="C1815" s="1"/>
      <c r="D1815" s="1"/>
      <c r="E1815" s="1"/>
      <c r="F1815" s="1"/>
      <c r="H1815" s="1"/>
      <c r="I1815" s="1"/>
      <c r="J1815" s="1"/>
      <c r="K1815" s="1"/>
      <c r="O1815" s="1"/>
    </row>
    <row r="1816" spans="1:16" ht="15.75" customHeight="1">
      <c r="A1816" s="1"/>
      <c r="B1816" s="1"/>
      <c r="C1816" s="1"/>
      <c r="D1816" s="1"/>
      <c r="E1816" s="1"/>
      <c r="F1816" s="1"/>
      <c r="H1816" s="1"/>
      <c r="I1816" s="1"/>
      <c r="J1816" s="1"/>
      <c r="K1816" s="1"/>
      <c r="O1816" s="1"/>
    </row>
    <row r="1817" spans="1:16" ht="15.75" customHeight="1">
      <c r="A1817" s="1"/>
      <c r="B1817" s="1"/>
      <c r="C1817" s="1"/>
      <c r="D1817" s="1"/>
      <c r="E1817" s="1"/>
      <c r="F1817" s="1"/>
      <c r="H1817" s="1"/>
      <c r="I1817" s="1"/>
      <c r="J1817" s="1"/>
      <c r="K1817" s="1"/>
      <c r="O1817" s="1"/>
    </row>
    <row r="1818" spans="1:16" ht="15.75" customHeight="1">
      <c r="A1818" s="1"/>
      <c r="B1818" s="1"/>
      <c r="C1818" s="1"/>
      <c r="D1818" s="1"/>
      <c r="E1818" s="1"/>
      <c r="F1818" s="1"/>
      <c r="H1818" s="1"/>
      <c r="I1818" s="1"/>
      <c r="J1818" s="1"/>
      <c r="K1818" s="1"/>
      <c r="O1818" s="1"/>
    </row>
    <row r="1819" spans="1:16" ht="15.75" customHeight="1">
      <c r="A1819" s="1"/>
      <c r="B1819" s="1"/>
      <c r="C1819" s="1"/>
      <c r="D1819" s="1"/>
      <c r="F1819" s="1"/>
      <c r="H1819" s="1"/>
      <c r="I1819" s="1"/>
      <c r="J1819" s="1"/>
      <c r="K1819" s="1"/>
      <c r="O1819" s="1"/>
    </row>
    <row r="1820" spans="1:16" ht="15.75" customHeight="1">
      <c r="A1820" s="1"/>
      <c r="B1820" s="1"/>
      <c r="C1820" s="1"/>
      <c r="D1820" s="1"/>
      <c r="E1820" s="1"/>
      <c r="F1820" s="1"/>
      <c r="H1820" s="1"/>
      <c r="I1820" s="1"/>
      <c r="J1820" s="1"/>
      <c r="K1820" s="1"/>
      <c r="O1820" s="1"/>
    </row>
    <row r="1821" spans="1:16" ht="15.75" customHeight="1">
      <c r="A1821" s="1"/>
      <c r="B1821" s="1"/>
      <c r="C1821" s="1"/>
      <c r="D1821" s="1"/>
      <c r="E1821" s="1"/>
      <c r="F1821" s="1"/>
      <c r="G1821" s="1"/>
      <c r="H1821" s="1"/>
      <c r="I1821" s="1"/>
      <c r="J1821" s="1"/>
      <c r="K1821" s="1"/>
      <c r="L1821" s="1"/>
      <c r="M1821" s="1"/>
      <c r="N1821" s="1"/>
      <c r="O1821" s="1"/>
      <c r="P1821" s="5"/>
    </row>
    <row r="1822" spans="1:16" ht="15.75" customHeight="1">
      <c r="A1822" s="1"/>
      <c r="B1822" s="1"/>
      <c r="C1822" s="1"/>
      <c r="D1822" s="1"/>
      <c r="E1822" s="1"/>
      <c r="F1822" s="1"/>
      <c r="H1822" s="1"/>
      <c r="I1822" s="1"/>
      <c r="J1822" s="1"/>
      <c r="K1822" s="1"/>
      <c r="O1822" s="1"/>
    </row>
    <row r="1823" spans="1:16" ht="15.75" customHeight="1">
      <c r="A1823" s="1"/>
      <c r="B1823" s="1"/>
      <c r="C1823" s="1"/>
      <c r="D1823" s="1"/>
      <c r="E1823" s="1"/>
      <c r="F1823" s="1"/>
      <c r="H1823" s="1"/>
      <c r="I1823" s="1"/>
      <c r="J1823" s="1"/>
      <c r="K1823" s="1"/>
      <c r="O1823" s="1"/>
    </row>
    <row r="1824" spans="1:16" ht="15.75" customHeight="1">
      <c r="A1824" s="1"/>
      <c r="B1824" s="1"/>
      <c r="C1824" s="1"/>
      <c r="D1824" s="1"/>
      <c r="E1824" s="1"/>
      <c r="F1824" s="1"/>
      <c r="H1824" s="1"/>
      <c r="I1824" s="1"/>
      <c r="J1824" s="1"/>
      <c r="O1824" s="1"/>
    </row>
    <row r="1825" spans="1:15" ht="15.75" customHeight="1">
      <c r="A1825" s="1"/>
      <c r="B1825" s="1"/>
      <c r="C1825" s="1"/>
      <c r="D1825" s="1"/>
      <c r="E1825" s="1"/>
      <c r="F1825" s="1"/>
      <c r="H1825" s="1"/>
      <c r="I1825" s="1"/>
      <c r="J1825" s="1"/>
      <c r="K1825" s="1"/>
      <c r="O1825" s="1"/>
    </row>
    <row r="1826" spans="1:15" ht="15.75" customHeight="1">
      <c r="A1826" s="1"/>
      <c r="B1826" s="1"/>
      <c r="C1826" s="1"/>
      <c r="D1826" s="1"/>
      <c r="E1826" s="1"/>
      <c r="F1826" s="1"/>
      <c r="H1826" s="1"/>
      <c r="I1826" s="1"/>
      <c r="K1826" s="1"/>
      <c r="O1826" s="1"/>
    </row>
    <row r="1827" spans="1:15" ht="15.75" customHeight="1">
      <c r="A1827" s="1"/>
      <c r="B1827" s="1"/>
      <c r="C1827" s="1"/>
      <c r="D1827" s="1"/>
      <c r="F1827" s="1"/>
      <c r="H1827" s="1"/>
      <c r="I1827" s="1"/>
      <c r="J1827" s="1"/>
      <c r="K1827" s="1"/>
      <c r="O1827" s="1"/>
    </row>
    <row r="1828" spans="1:15" ht="15.75" customHeight="1">
      <c r="A1828" s="1"/>
      <c r="B1828" s="1"/>
      <c r="C1828" s="1"/>
      <c r="D1828" s="1"/>
      <c r="E1828" s="1"/>
      <c r="F1828" s="1"/>
      <c r="H1828" s="1"/>
      <c r="I1828" s="1"/>
      <c r="J1828" s="1"/>
      <c r="K1828" s="1"/>
      <c r="O1828" s="1"/>
    </row>
    <row r="1829" spans="1:15" ht="15.75" customHeight="1">
      <c r="A1829" s="1"/>
      <c r="B1829" s="1"/>
      <c r="C1829" s="1"/>
      <c r="D1829" s="1"/>
      <c r="E1829" s="1"/>
      <c r="F1829" s="1"/>
      <c r="H1829" s="1"/>
      <c r="I1829" s="1"/>
      <c r="J1829" s="1"/>
      <c r="K1829" s="1"/>
      <c r="O1829" s="1"/>
    </row>
    <row r="1830" spans="1:15" ht="15.75" customHeight="1">
      <c r="A1830" s="1"/>
      <c r="B1830" s="1"/>
      <c r="C1830" s="1"/>
      <c r="D1830" s="1"/>
      <c r="E1830" s="1"/>
      <c r="F1830" s="1"/>
      <c r="H1830" s="1"/>
      <c r="I1830" s="1"/>
      <c r="J1830" s="1"/>
      <c r="K1830" s="1"/>
      <c r="O1830" s="1"/>
    </row>
    <row r="1831" spans="1:15" ht="15.75" customHeight="1">
      <c r="A1831" s="1"/>
      <c r="B1831" s="1"/>
      <c r="C1831" s="1"/>
      <c r="D1831" s="1"/>
      <c r="E1831" s="1"/>
      <c r="F1831" s="1"/>
      <c r="H1831" s="1"/>
      <c r="I1831" s="1"/>
      <c r="J1831" s="1"/>
      <c r="K1831" s="1"/>
      <c r="O1831" s="1"/>
    </row>
    <row r="1832" spans="1:15" ht="15.75" customHeight="1">
      <c r="A1832" s="1"/>
      <c r="B1832" s="1"/>
      <c r="C1832" s="1"/>
      <c r="D1832" s="1"/>
      <c r="E1832" s="1"/>
      <c r="F1832" s="1"/>
      <c r="H1832" s="1"/>
      <c r="I1832" s="1"/>
      <c r="J1832" s="1"/>
      <c r="K1832" s="1"/>
      <c r="O1832" s="1"/>
    </row>
    <row r="1833" spans="1:15" ht="15.75" customHeight="1">
      <c r="A1833" s="1"/>
      <c r="B1833" s="1"/>
      <c r="C1833" s="1"/>
      <c r="D1833" s="1"/>
      <c r="F1833" s="1"/>
      <c r="H1833" s="1"/>
      <c r="I1833" s="1"/>
      <c r="J1833" s="1"/>
      <c r="K1833" s="1"/>
      <c r="O1833" s="1"/>
    </row>
    <row r="1834" spans="1:15" ht="15.75" customHeight="1">
      <c r="A1834" s="1"/>
      <c r="B1834" s="1"/>
      <c r="C1834" s="1"/>
      <c r="D1834" s="1"/>
      <c r="E1834" s="1"/>
      <c r="F1834" s="1"/>
      <c r="H1834" s="1"/>
      <c r="I1834" s="1"/>
      <c r="J1834" s="1"/>
      <c r="O1834" s="1"/>
    </row>
    <row r="1835" spans="1:15" ht="15.75" customHeight="1">
      <c r="A1835" s="1"/>
      <c r="B1835" s="1"/>
      <c r="C1835" s="1"/>
      <c r="D1835" s="1"/>
      <c r="E1835" s="1"/>
      <c r="F1835" s="1"/>
      <c r="H1835" s="1"/>
      <c r="I1835" s="1"/>
      <c r="J1835" s="1"/>
      <c r="K1835" s="1"/>
      <c r="O1835" s="1"/>
    </row>
    <row r="1836" spans="1:15" ht="15.75" customHeight="1">
      <c r="A1836" s="1"/>
      <c r="B1836" s="1"/>
      <c r="C1836" s="1"/>
      <c r="D1836" s="1"/>
      <c r="E1836" s="1"/>
      <c r="F1836" s="1"/>
      <c r="G1836" s="1"/>
      <c r="H1836" s="1"/>
      <c r="I1836" s="1"/>
      <c r="J1836" s="1"/>
      <c r="O1836" s="1"/>
    </row>
    <row r="1837" spans="1:15" ht="15.75" customHeight="1">
      <c r="A1837" s="1"/>
      <c r="B1837" s="1"/>
      <c r="C1837" s="1"/>
      <c r="D1837" s="1"/>
      <c r="E1837" s="1"/>
      <c r="F1837" s="1"/>
      <c r="H1837" s="1"/>
      <c r="I1837" s="1"/>
      <c r="J1837" s="1"/>
      <c r="K1837" s="1"/>
      <c r="O1837" s="1"/>
    </row>
    <row r="1838" spans="1:15" ht="15.75" customHeight="1">
      <c r="A1838" s="1"/>
      <c r="B1838" s="1"/>
      <c r="C1838" s="1"/>
      <c r="D1838" s="1"/>
      <c r="E1838" s="1"/>
      <c r="F1838" s="1"/>
      <c r="H1838" s="1"/>
      <c r="I1838" s="1"/>
      <c r="J1838" s="1"/>
      <c r="K1838" s="1"/>
      <c r="O1838" s="1"/>
    </row>
    <row r="1839" spans="1:15" ht="15.75" customHeight="1">
      <c r="A1839" s="1"/>
      <c r="B1839" s="1"/>
      <c r="C1839" s="1"/>
      <c r="D1839" s="1"/>
      <c r="E1839" s="1"/>
      <c r="F1839" s="1"/>
      <c r="H1839" s="1"/>
      <c r="I1839" s="1"/>
      <c r="K1839" s="1"/>
      <c r="O1839" s="1"/>
    </row>
    <row r="1840" spans="1:15" ht="15.75" customHeight="1">
      <c r="A1840" s="1"/>
      <c r="B1840" s="1"/>
      <c r="C1840" s="1"/>
      <c r="D1840" s="1"/>
      <c r="E1840" s="1"/>
      <c r="F1840" s="1"/>
      <c r="H1840" s="1"/>
      <c r="I1840" s="1"/>
      <c r="J1840" s="1"/>
      <c r="K1840" s="1"/>
      <c r="O1840" s="1"/>
    </row>
    <row r="1841" spans="1:15" ht="15.75" customHeight="1">
      <c r="A1841" s="1"/>
      <c r="B1841" s="1"/>
      <c r="C1841" s="1"/>
      <c r="D1841" s="1"/>
      <c r="E1841" s="1"/>
      <c r="F1841" s="1"/>
      <c r="H1841" s="1"/>
      <c r="I1841" s="1"/>
      <c r="J1841" s="1"/>
      <c r="K1841" s="1"/>
      <c r="O1841" s="1"/>
    </row>
    <row r="1842" spans="1:15" ht="15.75" customHeight="1">
      <c r="A1842" s="1"/>
      <c r="B1842" s="1"/>
      <c r="C1842" s="1"/>
      <c r="D1842" s="1"/>
      <c r="E1842" s="1"/>
      <c r="F1842" s="1"/>
      <c r="H1842" s="1"/>
      <c r="I1842" s="1"/>
      <c r="J1842" s="1"/>
      <c r="K1842" s="1"/>
      <c r="O1842" s="1"/>
    </row>
    <row r="1843" spans="1:15" ht="15.75" customHeight="1">
      <c r="A1843" s="1"/>
      <c r="B1843" s="1"/>
      <c r="C1843" s="1"/>
      <c r="D1843" s="1"/>
      <c r="E1843" s="1"/>
      <c r="F1843" s="1"/>
      <c r="H1843" s="1"/>
      <c r="I1843" s="1"/>
      <c r="O1843" s="1"/>
    </row>
    <row r="1844" spans="1:15" ht="15.75" customHeight="1">
      <c r="A1844" s="1"/>
      <c r="B1844" s="1"/>
      <c r="C1844" s="1"/>
      <c r="D1844" s="1"/>
      <c r="E1844" s="1"/>
      <c r="F1844" s="1"/>
      <c r="H1844" s="1"/>
      <c r="I1844" s="1"/>
      <c r="J1844" s="1"/>
      <c r="K1844" s="1"/>
      <c r="O1844" s="1"/>
    </row>
    <row r="1845" spans="1:15" ht="15.75" customHeight="1">
      <c r="A1845" s="1"/>
      <c r="B1845" s="1"/>
      <c r="C1845" s="1"/>
      <c r="D1845" s="1"/>
      <c r="E1845" s="1"/>
      <c r="F1845" s="1"/>
      <c r="H1845" s="1"/>
      <c r="I1845" s="1"/>
      <c r="J1845" s="1"/>
      <c r="K1845" s="1"/>
      <c r="O1845" s="1"/>
    </row>
    <row r="1846" spans="1:15" ht="15.75" customHeight="1">
      <c r="A1846" s="1"/>
      <c r="B1846" s="1"/>
      <c r="C1846" s="1"/>
      <c r="D1846" s="1"/>
      <c r="E1846" s="1"/>
      <c r="F1846" s="1"/>
      <c r="H1846" s="1"/>
      <c r="I1846" s="1"/>
      <c r="J1846" s="1"/>
      <c r="K1846" s="1"/>
      <c r="O1846" s="1"/>
    </row>
    <row r="1847" spans="1:15" ht="15.75" customHeight="1">
      <c r="A1847" s="1"/>
      <c r="B1847" s="1"/>
      <c r="C1847" s="1"/>
      <c r="D1847" s="1"/>
      <c r="E1847" s="1"/>
      <c r="F1847" s="1"/>
      <c r="H1847" s="1"/>
      <c r="I1847" s="1"/>
      <c r="K1847" s="1"/>
      <c r="O1847" s="1"/>
    </row>
    <row r="1848" spans="1:15" ht="15.75" customHeight="1">
      <c r="A1848" s="1"/>
      <c r="B1848" s="1"/>
      <c r="C1848" s="1"/>
      <c r="D1848" s="1"/>
      <c r="E1848" s="1"/>
      <c r="F1848" s="1"/>
      <c r="H1848" s="1"/>
      <c r="I1848" s="1"/>
      <c r="O1848" s="1"/>
    </row>
    <row r="1849" spans="1:15" ht="15.75" customHeight="1">
      <c r="A1849" s="1"/>
      <c r="B1849" s="1"/>
      <c r="C1849" s="1"/>
      <c r="D1849" s="1"/>
      <c r="E1849" s="1"/>
      <c r="F1849" s="1"/>
      <c r="H1849" s="1"/>
      <c r="I1849" s="1"/>
      <c r="K1849" s="1"/>
      <c r="O1849" s="1"/>
    </row>
    <row r="1850" spans="1:15" ht="15.75" customHeight="1">
      <c r="A1850" s="1"/>
      <c r="B1850" s="1"/>
      <c r="C1850" s="1"/>
      <c r="D1850" s="1"/>
      <c r="E1850" s="1"/>
      <c r="F1850" s="1"/>
      <c r="H1850" s="1"/>
      <c r="I1850" s="1"/>
      <c r="J1850" s="1"/>
      <c r="K1850" s="1"/>
      <c r="O1850" s="1"/>
    </row>
    <row r="1851" spans="1:15" ht="15.75" customHeight="1">
      <c r="A1851" s="1"/>
      <c r="B1851" s="1"/>
      <c r="C1851" s="1"/>
      <c r="D1851" s="1"/>
      <c r="E1851" s="1"/>
      <c r="F1851" s="1"/>
      <c r="H1851" s="1"/>
      <c r="I1851" s="1"/>
      <c r="J1851" s="1"/>
      <c r="K1851" s="1"/>
      <c r="O1851" s="1"/>
    </row>
    <row r="1852" spans="1:15" ht="15.75" customHeight="1">
      <c r="A1852" s="1"/>
      <c r="B1852" s="1"/>
      <c r="C1852" s="1"/>
      <c r="D1852" s="1"/>
      <c r="E1852" s="1"/>
      <c r="F1852" s="1"/>
      <c r="G1852" s="1"/>
      <c r="H1852" s="1"/>
      <c r="I1852" s="1"/>
      <c r="J1852" s="1"/>
      <c r="O1852" s="1"/>
    </row>
    <row r="1853" spans="1:15" ht="15.75" customHeight="1">
      <c r="A1853" s="1"/>
      <c r="B1853" s="1"/>
      <c r="C1853" s="1"/>
      <c r="D1853" s="1"/>
      <c r="E1853" s="1"/>
      <c r="F1853" s="1"/>
      <c r="H1853" s="1"/>
      <c r="I1853" s="1"/>
      <c r="J1853" s="1"/>
      <c r="K1853" s="1"/>
      <c r="O1853" s="1"/>
    </row>
    <row r="1854" spans="1:15" ht="15.75" customHeight="1">
      <c r="A1854" s="1"/>
      <c r="B1854" s="1"/>
      <c r="C1854" s="1"/>
      <c r="D1854" s="1"/>
      <c r="E1854" s="1"/>
      <c r="F1854" s="1"/>
      <c r="H1854" s="1"/>
      <c r="I1854" s="1"/>
      <c r="J1854" s="1"/>
      <c r="K1854" s="1"/>
      <c r="O1854" s="1"/>
    </row>
    <row r="1855" spans="1:15" ht="15.75" customHeight="1">
      <c r="A1855" s="1"/>
      <c r="B1855" s="1"/>
      <c r="C1855" s="1"/>
      <c r="D1855" s="1"/>
      <c r="E1855" s="1"/>
      <c r="F1855" s="1"/>
      <c r="H1855" s="1"/>
      <c r="I1855" s="1"/>
      <c r="J1855" s="1"/>
      <c r="K1855" s="1"/>
      <c r="O1855" s="1"/>
    </row>
    <row r="1856" spans="1:15" ht="15.75" customHeight="1">
      <c r="A1856" s="1"/>
      <c r="B1856" s="1"/>
      <c r="C1856" s="1"/>
      <c r="D1856" s="1"/>
      <c r="E1856" s="1"/>
      <c r="F1856" s="1"/>
      <c r="H1856" s="1"/>
      <c r="I1856" s="1"/>
      <c r="J1856" s="1"/>
      <c r="K1856" s="1"/>
      <c r="O1856" s="1"/>
    </row>
    <row r="1857" spans="1:15" ht="15.75" customHeight="1">
      <c r="A1857" s="1"/>
      <c r="B1857" s="1"/>
      <c r="C1857" s="1"/>
      <c r="D1857" s="1"/>
      <c r="E1857" s="1"/>
      <c r="F1857" s="1"/>
      <c r="H1857" s="1"/>
      <c r="I1857" s="1"/>
      <c r="J1857" s="1"/>
      <c r="K1857" s="1"/>
      <c r="O1857" s="1"/>
    </row>
    <row r="1858" spans="1:15" ht="15.75" customHeight="1">
      <c r="A1858" s="1"/>
      <c r="B1858" s="1"/>
      <c r="C1858" s="1"/>
      <c r="D1858" s="1"/>
      <c r="E1858" s="1"/>
      <c r="F1858" s="1"/>
      <c r="H1858" s="1"/>
      <c r="I1858" s="1"/>
      <c r="J1858" s="1"/>
      <c r="K1858" s="1"/>
      <c r="O1858" s="1"/>
    </row>
    <row r="1859" spans="1:15" ht="15.75" customHeight="1">
      <c r="A1859" s="1"/>
      <c r="B1859" s="1"/>
      <c r="C1859" s="1"/>
      <c r="D1859" s="1"/>
      <c r="E1859" s="1"/>
      <c r="F1859" s="1"/>
      <c r="H1859" s="1"/>
      <c r="I1859" s="1"/>
      <c r="J1859" s="1"/>
      <c r="K1859" s="1"/>
      <c r="O1859" s="1"/>
    </row>
    <row r="1860" spans="1:15" ht="15.75" customHeight="1">
      <c r="A1860" s="1"/>
      <c r="B1860" s="1"/>
      <c r="C1860" s="1"/>
      <c r="D1860" s="1"/>
      <c r="E1860" s="1"/>
      <c r="F1860" s="1"/>
      <c r="H1860" s="1"/>
      <c r="I1860" s="1"/>
      <c r="J1860" s="1"/>
      <c r="O1860" s="1"/>
    </row>
    <row r="1861" spans="1:15" ht="15.75" customHeight="1">
      <c r="A1861" s="1"/>
      <c r="B1861" s="1"/>
      <c r="C1861" s="1"/>
      <c r="D1861" s="1"/>
      <c r="E1861" s="1"/>
      <c r="F1861" s="1"/>
      <c r="H1861" s="1"/>
      <c r="I1861" s="1"/>
      <c r="J1861" s="1"/>
      <c r="K1861" s="1"/>
      <c r="O1861" s="1"/>
    </row>
    <row r="1862" spans="1:15" ht="15.75" customHeight="1">
      <c r="A1862" s="1"/>
      <c r="B1862" s="1"/>
      <c r="C1862" s="1"/>
      <c r="D1862" s="1"/>
      <c r="E1862" s="1"/>
      <c r="F1862" s="1"/>
      <c r="H1862" s="1"/>
      <c r="I1862" s="1"/>
      <c r="K1862" s="1"/>
    </row>
    <row r="1863" spans="1:15" ht="15.75" customHeight="1">
      <c r="A1863" s="1"/>
      <c r="B1863" s="1"/>
      <c r="C1863" s="1"/>
      <c r="D1863" s="1"/>
      <c r="E1863" s="1"/>
      <c r="F1863" s="1"/>
      <c r="H1863" s="1"/>
      <c r="I1863" s="1"/>
      <c r="J1863" s="1"/>
      <c r="K1863" s="1"/>
      <c r="O1863" s="1"/>
    </row>
    <row r="1864" spans="1:15" ht="15.75" customHeight="1">
      <c r="A1864" s="1"/>
      <c r="B1864" s="1"/>
      <c r="C1864" s="1"/>
      <c r="D1864" s="1"/>
      <c r="E1864" s="1"/>
      <c r="F1864" s="1"/>
      <c r="G1864" s="1"/>
      <c r="H1864" s="1"/>
      <c r="I1864" s="1"/>
      <c r="K1864" s="1"/>
    </row>
    <row r="1865" spans="1:15" ht="15.75" customHeight="1">
      <c r="A1865" s="1"/>
      <c r="B1865" s="1"/>
      <c r="C1865" s="1"/>
      <c r="D1865" s="1"/>
      <c r="E1865" s="1"/>
      <c r="F1865" s="1"/>
      <c r="H1865" s="1"/>
      <c r="I1865" s="1"/>
      <c r="J1865" s="1"/>
      <c r="K1865" s="1"/>
      <c r="O1865" s="1"/>
    </row>
    <row r="1866" spans="1:15" ht="15.75" customHeight="1">
      <c r="A1866" s="1"/>
      <c r="B1866" s="1"/>
      <c r="C1866" s="1"/>
      <c r="D1866" s="1"/>
      <c r="E1866" s="1"/>
      <c r="F1866" s="1"/>
      <c r="H1866" s="1"/>
      <c r="I1866" s="1"/>
      <c r="J1866" s="1"/>
      <c r="K1866" s="1"/>
      <c r="O1866" s="1"/>
    </row>
    <row r="1867" spans="1:15" ht="15.75" customHeight="1">
      <c r="A1867" s="1"/>
      <c r="B1867" s="1"/>
      <c r="C1867" s="1"/>
      <c r="D1867" s="1"/>
      <c r="E1867" s="1"/>
      <c r="F1867" s="1"/>
      <c r="H1867" s="1"/>
      <c r="I1867" s="1"/>
      <c r="J1867" s="1"/>
      <c r="K1867" s="1"/>
      <c r="O1867" s="1"/>
    </row>
    <row r="1868" spans="1:15" ht="15.75" customHeight="1">
      <c r="A1868" s="1"/>
      <c r="B1868" s="1"/>
      <c r="C1868" s="1"/>
      <c r="D1868" s="1"/>
      <c r="E1868" s="1"/>
      <c r="F1868" s="1"/>
      <c r="H1868" s="1"/>
      <c r="I1868" s="1"/>
      <c r="J1868" s="1"/>
      <c r="O1868" s="1"/>
    </row>
    <row r="1869" spans="1:15" ht="15.75" customHeight="1">
      <c r="A1869" s="1"/>
      <c r="B1869" s="1"/>
      <c r="C1869" s="1"/>
      <c r="D1869" s="1"/>
      <c r="E1869" s="1"/>
      <c r="F1869" s="1"/>
      <c r="H1869" s="1"/>
      <c r="I1869" s="1"/>
      <c r="J1869" s="1"/>
      <c r="K1869" s="1"/>
      <c r="O1869" s="1"/>
    </row>
    <row r="1870" spans="1:15" ht="15.75" customHeight="1">
      <c r="A1870" s="1"/>
      <c r="B1870" s="1"/>
      <c r="C1870" s="1"/>
      <c r="D1870" s="1"/>
      <c r="E1870" s="1"/>
      <c r="F1870" s="1"/>
      <c r="H1870" s="1"/>
      <c r="I1870" s="1"/>
      <c r="J1870" s="1"/>
      <c r="K1870" s="1"/>
      <c r="O1870" s="1"/>
    </row>
    <row r="1871" spans="1:15" ht="15.75" customHeight="1">
      <c r="A1871" s="1"/>
      <c r="B1871" s="1"/>
      <c r="C1871" s="1"/>
      <c r="D1871" s="1"/>
      <c r="E1871" s="1"/>
      <c r="F1871" s="1"/>
      <c r="H1871" s="1"/>
      <c r="I1871" s="1"/>
      <c r="J1871" s="1"/>
      <c r="K1871" s="1"/>
      <c r="O1871" s="1"/>
    </row>
    <row r="1872" spans="1:15" ht="15.75" customHeight="1">
      <c r="A1872" s="1"/>
      <c r="B1872" s="1"/>
      <c r="C1872" s="1"/>
      <c r="D1872" s="1"/>
      <c r="E1872" s="1"/>
      <c r="F1872" s="1"/>
      <c r="H1872" s="1"/>
      <c r="I1872" s="1"/>
      <c r="J1872" s="1"/>
      <c r="K1872" s="1"/>
      <c r="O1872" s="1"/>
    </row>
    <row r="1873" spans="1:15" ht="15.75" customHeight="1">
      <c r="A1873" s="1"/>
      <c r="B1873" s="1"/>
      <c r="C1873" s="1"/>
      <c r="D1873" s="1"/>
      <c r="E1873" s="1"/>
      <c r="F1873" s="1"/>
      <c r="H1873" s="1"/>
      <c r="I1873" s="1"/>
      <c r="J1873" s="1"/>
      <c r="K1873" s="1"/>
      <c r="O1873" s="1"/>
    </row>
    <row r="1874" spans="1:15" ht="15.75" customHeight="1">
      <c r="A1874" s="1"/>
      <c r="B1874" s="1"/>
      <c r="C1874" s="1"/>
      <c r="D1874" s="1"/>
      <c r="E1874" s="1"/>
      <c r="F1874" s="1"/>
      <c r="H1874" s="1"/>
      <c r="I1874" s="1"/>
      <c r="J1874" s="1"/>
      <c r="K1874" s="1"/>
      <c r="O1874" s="1"/>
    </row>
    <row r="1875" spans="1:15" ht="15.75" customHeight="1">
      <c r="A1875" s="1"/>
      <c r="B1875" s="1"/>
      <c r="C1875" s="1"/>
      <c r="D1875" s="1"/>
      <c r="E1875" s="1"/>
      <c r="F1875" s="1"/>
      <c r="H1875" s="1"/>
      <c r="I1875" s="1"/>
      <c r="J1875" s="1"/>
      <c r="K1875" s="1"/>
    </row>
    <row r="1876" spans="1:15" ht="15.75" customHeight="1">
      <c r="A1876" s="1"/>
      <c r="B1876" s="1"/>
      <c r="C1876" s="1"/>
      <c r="D1876" s="1"/>
      <c r="E1876" s="1"/>
      <c r="F1876" s="1"/>
      <c r="H1876" s="1"/>
      <c r="I1876" s="1"/>
      <c r="J1876" s="1"/>
      <c r="O1876" s="1"/>
    </row>
    <row r="1877" spans="1:15" ht="15.75" customHeight="1">
      <c r="A1877" s="1"/>
      <c r="B1877" s="1"/>
      <c r="C1877" s="1"/>
      <c r="D1877" s="1"/>
      <c r="E1877" s="1"/>
      <c r="F1877" s="1"/>
      <c r="H1877" s="1"/>
      <c r="I1877" s="1"/>
      <c r="J1877" s="1"/>
      <c r="K1877" s="1"/>
      <c r="O1877" s="1"/>
    </row>
    <row r="1878" spans="1:15" ht="15.75" customHeight="1">
      <c r="A1878" s="1"/>
      <c r="B1878" s="1"/>
      <c r="C1878" s="1"/>
      <c r="D1878" s="1"/>
      <c r="E1878" s="1"/>
      <c r="F1878" s="1"/>
      <c r="H1878" s="1"/>
      <c r="I1878" s="1"/>
      <c r="J1878" s="1"/>
      <c r="K1878" s="1"/>
      <c r="O1878" s="1"/>
    </row>
    <row r="1879" spans="1:15" ht="15.75" customHeight="1">
      <c r="A1879" s="1"/>
      <c r="B1879" s="1"/>
      <c r="C1879" s="1"/>
      <c r="D1879" s="1"/>
      <c r="E1879" s="1"/>
      <c r="F1879" s="1"/>
      <c r="H1879" s="1"/>
      <c r="I1879" s="1"/>
      <c r="J1879" s="1"/>
      <c r="K1879" s="1"/>
      <c r="O1879" s="1"/>
    </row>
    <row r="1880" spans="1:15" ht="15.75" customHeight="1">
      <c r="A1880" s="1"/>
      <c r="B1880" s="1"/>
      <c r="C1880" s="1"/>
      <c r="D1880" s="1"/>
      <c r="E1880" s="1"/>
      <c r="F1880" s="1"/>
      <c r="H1880" s="1"/>
      <c r="I1880" s="1"/>
      <c r="J1880" s="1"/>
      <c r="K1880" s="1"/>
      <c r="O1880" s="1"/>
    </row>
    <row r="1881" spans="1:15" ht="15.75" customHeight="1">
      <c r="A1881" s="1"/>
      <c r="B1881" s="1"/>
      <c r="C1881" s="1"/>
      <c r="D1881" s="1"/>
      <c r="E1881" s="1"/>
      <c r="F1881" s="1"/>
      <c r="H1881" s="1"/>
      <c r="I1881" s="1"/>
      <c r="J1881" s="1"/>
      <c r="K1881" s="1"/>
      <c r="O1881" s="1"/>
    </row>
    <row r="1882" spans="1:15" ht="15.75" customHeight="1">
      <c r="A1882" s="1"/>
      <c r="B1882" s="1"/>
      <c r="C1882" s="1"/>
      <c r="D1882" s="1"/>
      <c r="E1882" s="1"/>
      <c r="F1882" s="1"/>
      <c r="H1882" s="1"/>
      <c r="I1882" s="1"/>
      <c r="J1882" s="1"/>
      <c r="K1882" s="1"/>
      <c r="O1882" s="1"/>
    </row>
    <row r="1883" spans="1:15" ht="15.75" customHeight="1">
      <c r="A1883" s="1"/>
      <c r="B1883" s="1"/>
      <c r="C1883" s="1"/>
      <c r="D1883" s="1"/>
      <c r="E1883" s="1"/>
      <c r="F1883" s="1"/>
      <c r="H1883" s="1"/>
      <c r="I1883" s="1"/>
      <c r="J1883" s="1"/>
      <c r="K1883" s="1"/>
      <c r="O1883" s="1"/>
    </row>
    <row r="1884" spans="1:15" ht="15.75" customHeight="1">
      <c r="A1884" s="1"/>
      <c r="B1884" s="1"/>
      <c r="C1884" s="1"/>
      <c r="D1884" s="1"/>
      <c r="E1884" s="1"/>
      <c r="F1884" s="1"/>
      <c r="H1884" s="1"/>
      <c r="I1884" s="1"/>
      <c r="K1884" s="1"/>
    </row>
    <row r="1885" spans="1:15" ht="15.75" customHeight="1">
      <c r="A1885" s="1"/>
      <c r="B1885" s="1"/>
      <c r="C1885" s="1"/>
      <c r="D1885" s="1"/>
      <c r="E1885" s="1"/>
      <c r="F1885" s="1"/>
      <c r="H1885" s="1"/>
      <c r="I1885" s="1"/>
      <c r="O1885" s="1"/>
    </row>
    <row r="1886" spans="1:15" ht="15.75" customHeight="1">
      <c r="A1886" s="1"/>
      <c r="B1886" s="1"/>
      <c r="C1886" s="1"/>
      <c r="D1886" s="1"/>
      <c r="E1886" s="1"/>
      <c r="F1886" s="1"/>
      <c r="H1886" s="1"/>
      <c r="I1886" s="1"/>
      <c r="J1886" s="1"/>
      <c r="K1886" s="1"/>
      <c r="O1886" s="1"/>
    </row>
    <row r="1887" spans="1:15" ht="15.75" customHeight="1">
      <c r="A1887" s="1"/>
      <c r="B1887" s="1"/>
      <c r="C1887" s="1"/>
      <c r="D1887" s="1"/>
      <c r="E1887" s="1"/>
      <c r="F1887" s="1"/>
      <c r="H1887" s="1"/>
      <c r="I1887" s="1"/>
      <c r="J1887" s="1"/>
      <c r="K1887" s="1"/>
      <c r="O1887" s="1"/>
    </row>
    <row r="1888" spans="1:15" ht="15.75" customHeight="1">
      <c r="A1888" s="1"/>
      <c r="B1888" s="1"/>
      <c r="C1888" s="1"/>
      <c r="D1888" s="1"/>
      <c r="E1888" s="1"/>
      <c r="F1888" s="1"/>
      <c r="H1888" s="1"/>
      <c r="I1888" s="1"/>
      <c r="J1888" s="1"/>
      <c r="K1888" s="1"/>
      <c r="O1888" s="1"/>
    </row>
    <row r="1889" spans="1:15" ht="15.75" customHeight="1">
      <c r="A1889" s="1"/>
      <c r="B1889" s="1"/>
      <c r="C1889" s="1"/>
      <c r="D1889" s="1"/>
      <c r="E1889" s="1"/>
      <c r="F1889" s="1"/>
      <c r="H1889" s="1"/>
      <c r="I1889" s="1"/>
      <c r="K1889" s="1"/>
      <c r="O1889" s="1"/>
    </row>
    <row r="1890" spans="1:15" ht="15.75" customHeight="1">
      <c r="A1890" s="1"/>
      <c r="B1890" s="1"/>
      <c r="C1890" s="1"/>
      <c r="D1890" s="1"/>
      <c r="E1890" s="1"/>
      <c r="F1890" s="1"/>
      <c r="H1890" s="1"/>
      <c r="I1890" s="1"/>
      <c r="J1890" s="1"/>
      <c r="K1890" s="1"/>
      <c r="O1890" s="1"/>
    </row>
    <row r="1891" spans="1:15" ht="15.75" customHeight="1">
      <c r="A1891" s="1"/>
      <c r="B1891" s="1"/>
      <c r="C1891" s="1"/>
      <c r="D1891" s="1"/>
      <c r="E1891" s="1"/>
      <c r="F1891" s="1"/>
      <c r="H1891" s="1"/>
      <c r="I1891" s="1"/>
      <c r="J1891" s="1"/>
      <c r="O1891" s="1"/>
    </row>
    <row r="1892" spans="1:15" ht="15.75" customHeight="1">
      <c r="A1892" s="1"/>
      <c r="B1892" s="1"/>
      <c r="C1892" s="1"/>
      <c r="D1892" s="1"/>
      <c r="E1892" s="1"/>
      <c r="F1892" s="1"/>
      <c r="H1892" s="1"/>
      <c r="I1892" s="1"/>
      <c r="J1892" s="1"/>
      <c r="K1892" s="1"/>
      <c r="O1892" s="1"/>
    </row>
    <row r="1893" spans="1:15" ht="15.75" customHeight="1">
      <c r="A1893" s="1"/>
      <c r="B1893" s="1"/>
      <c r="C1893" s="1"/>
      <c r="D1893" s="1"/>
      <c r="F1893" s="1"/>
      <c r="H1893" s="1"/>
      <c r="I1893" s="1"/>
      <c r="J1893" s="1"/>
      <c r="K1893" s="1"/>
      <c r="O1893" s="1"/>
    </row>
    <row r="1894" spans="1:15" ht="15.75" customHeight="1">
      <c r="A1894" s="1"/>
      <c r="B1894" s="1"/>
      <c r="C1894" s="1"/>
      <c r="D1894" s="1"/>
      <c r="E1894" s="1"/>
      <c r="F1894" s="1"/>
      <c r="H1894" s="1"/>
      <c r="I1894" s="1"/>
      <c r="J1894" s="1"/>
      <c r="K1894" s="1"/>
      <c r="O1894" s="1"/>
    </row>
    <row r="1895" spans="1:15" ht="15.75" customHeight="1">
      <c r="A1895" s="1"/>
      <c r="B1895" s="1"/>
      <c r="C1895" s="1"/>
      <c r="D1895" s="1"/>
      <c r="E1895" s="1"/>
      <c r="F1895" s="1"/>
      <c r="H1895" s="1"/>
      <c r="I1895" s="1"/>
      <c r="J1895" s="1"/>
      <c r="K1895" s="1"/>
    </row>
    <row r="1896" spans="1:15" ht="15.75" customHeight="1">
      <c r="A1896" s="1"/>
      <c r="B1896" s="1"/>
      <c r="C1896" s="1"/>
      <c r="D1896" s="1"/>
      <c r="E1896" s="1"/>
      <c r="F1896" s="1"/>
      <c r="H1896" s="1"/>
      <c r="I1896" s="1"/>
      <c r="J1896" s="1"/>
      <c r="O1896" s="1"/>
    </row>
    <row r="1897" spans="1:15" ht="15.75" customHeight="1">
      <c r="A1897" s="1"/>
      <c r="B1897" s="1"/>
      <c r="C1897" s="1"/>
      <c r="D1897" s="1"/>
      <c r="E1897" s="1"/>
      <c r="F1897" s="1"/>
      <c r="H1897" s="1"/>
      <c r="I1897" s="1"/>
      <c r="J1897" s="1"/>
      <c r="O1897" s="1"/>
    </row>
    <row r="1898" spans="1:15" ht="15.75" customHeight="1">
      <c r="A1898" s="1"/>
      <c r="B1898" s="1"/>
      <c r="C1898" s="1"/>
      <c r="D1898" s="1"/>
      <c r="E1898" s="1"/>
      <c r="F1898" s="1"/>
      <c r="H1898" s="1"/>
      <c r="I1898" s="1"/>
      <c r="J1898" s="1"/>
      <c r="K1898" s="1"/>
      <c r="O1898" s="1"/>
    </row>
    <row r="1899" spans="1:15" ht="15.75" customHeight="1">
      <c r="A1899" s="1"/>
      <c r="B1899" s="1"/>
      <c r="C1899" s="1"/>
      <c r="D1899" s="1"/>
      <c r="E1899" s="1"/>
      <c r="F1899" s="1"/>
      <c r="H1899" s="1"/>
      <c r="I1899" s="1"/>
      <c r="J1899" s="1"/>
      <c r="K1899" s="1"/>
      <c r="O1899" s="1"/>
    </row>
    <row r="1900" spans="1:15" ht="15.75" customHeight="1">
      <c r="A1900" s="1"/>
      <c r="B1900" s="1"/>
      <c r="C1900" s="1"/>
      <c r="D1900" s="1"/>
      <c r="E1900" s="1"/>
      <c r="F1900" s="1"/>
      <c r="H1900" s="1"/>
      <c r="I1900" s="1"/>
      <c r="J1900" s="1"/>
    </row>
    <row r="1901" spans="1:15" ht="15.75" customHeight="1">
      <c r="A1901" s="1"/>
      <c r="B1901" s="1"/>
      <c r="C1901" s="1"/>
      <c r="D1901" s="1"/>
      <c r="E1901" s="1"/>
      <c r="F1901" s="1"/>
      <c r="H1901" s="1"/>
      <c r="I1901" s="1"/>
      <c r="J1901" s="1"/>
      <c r="O1901" s="1"/>
    </row>
    <row r="1902" spans="1:15" ht="15.75" customHeight="1">
      <c r="A1902" s="1"/>
      <c r="B1902" s="1"/>
      <c r="C1902" s="1"/>
      <c r="D1902" s="1"/>
      <c r="E1902" s="1"/>
      <c r="F1902" s="1"/>
      <c r="H1902" s="1"/>
      <c r="I1902" s="1"/>
      <c r="J1902" s="1"/>
      <c r="K1902" s="1"/>
      <c r="O1902" s="1"/>
    </row>
    <row r="1903" spans="1:15" ht="15.75" customHeight="1">
      <c r="A1903" s="1"/>
      <c r="B1903" s="1"/>
      <c r="C1903" s="1"/>
      <c r="D1903" s="1"/>
      <c r="E1903" s="1"/>
      <c r="F1903" s="1"/>
      <c r="H1903" s="1"/>
      <c r="I1903" s="1"/>
      <c r="J1903" s="1"/>
      <c r="K1903" s="1"/>
      <c r="O1903" s="1"/>
    </row>
    <row r="1904" spans="1:15" ht="15.75" customHeight="1">
      <c r="A1904" s="1"/>
      <c r="B1904" s="1"/>
      <c r="C1904" s="1"/>
      <c r="D1904" s="1"/>
      <c r="F1904" s="1"/>
      <c r="H1904" s="1"/>
      <c r="I1904" s="1"/>
      <c r="J1904" s="1"/>
      <c r="K1904" s="1"/>
      <c r="O1904" s="1"/>
    </row>
    <row r="1905" spans="1:15" ht="15.75" customHeight="1">
      <c r="A1905" s="1"/>
      <c r="B1905" s="1"/>
      <c r="C1905" s="1"/>
      <c r="D1905" s="1"/>
      <c r="E1905" s="1"/>
      <c r="F1905" s="1"/>
      <c r="H1905" s="1"/>
      <c r="I1905" s="1"/>
      <c r="J1905" s="1"/>
      <c r="O1905" s="1"/>
    </row>
    <row r="1906" spans="1:15" ht="15.75" customHeight="1">
      <c r="A1906" s="1"/>
      <c r="B1906" s="1"/>
      <c r="C1906" s="1"/>
      <c r="D1906" s="1"/>
      <c r="E1906" s="1"/>
      <c r="F1906" s="1"/>
      <c r="H1906" s="1"/>
      <c r="I1906" s="1"/>
      <c r="O1906" s="1"/>
    </row>
    <row r="1907" spans="1:15" ht="15.75" customHeight="1">
      <c r="A1907" s="1"/>
      <c r="B1907" s="1"/>
      <c r="C1907" s="1"/>
      <c r="D1907" s="1"/>
      <c r="E1907" s="1"/>
      <c r="F1907" s="1"/>
      <c r="H1907" s="1"/>
      <c r="I1907" s="1"/>
      <c r="J1907" s="1"/>
      <c r="O1907" s="1"/>
    </row>
    <row r="1908" spans="1:15" ht="15.75" customHeight="1">
      <c r="A1908" s="1"/>
      <c r="B1908" s="1"/>
      <c r="C1908" s="1"/>
      <c r="D1908" s="1"/>
      <c r="E1908" s="1"/>
      <c r="F1908" s="1"/>
      <c r="H1908" s="1"/>
      <c r="I1908" s="1"/>
      <c r="J1908" s="1"/>
      <c r="K1908" s="1"/>
      <c r="O1908" s="1"/>
    </row>
    <row r="1909" spans="1:15" ht="15.75" customHeight="1">
      <c r="A1909" s="1"/>
      <c r="B1909" s="1"/>
      <c r="C1909" s="1"/>
      <c r="D1909" s="1"/>
      <c r="E1909" s="1"/>
      <c r="F1909" s="1"/>
      <c r="H1909" s="1"/>
      <c r="I1909" s="1"/>
      <c r="J1909" s="1"/>
      <c r="O1909" s="1"/>
    </row>
    <row r="1910" spans="1:15" ht="15.75" customHeight="1">
      <c r="A1910" s="1"/>
      <c r="B1910" s="1"/>
      <c r="C1910" s="1"/>
      <c r="D1910" s="1"/>
      <c r="E1910" s="1"/>
      <c r="F1910" s="1"/>
      <c r="H1910" s="1"/>
      <c r="I1910" s="1"/>
      <c r="J1910" s="1"/>
      <c r="K1910" s="1"/>
      <c r="O1910" s="1"/>
    </row>
    <row r="1911" spans="1:15" ht="15.75" customHeight="1">
      <c r="A1911" s="1"/>
      <c r="B1911" s="1"/>
      <c r="C1911" s="1"/>
      <c r="D1911" s="1"/>
      <c r="E1911" s="1"/>
      <c r="F1911" s="1"/>
      <c r="G1911" s="1"/>
      <c r="H1911" s="1"/>
      <c r="I1911" s="1"/>
      <c r="J1911" s="1"/>
      <c r="O1911" s="1"/>
    </row>
    <row r="1912" spans="1:15" ht="15.75" customHeight="1">
      <c r="A1912" s="1"/>
      <c r="B1912" s="1"/>
      <c r="C1912" s="1"/>
      <c r="D1912" s="1"/>
      <c r="E1912" s="1"/>
      <c r="F1912" s="1"/>
      <c r="H1912" s="1"/>
      <c r="I1912" s="1"/>
      <c r="J1912" s="1"/>
      <c r="K1912" s="1"/>
      <c r="O1912" s="1"/>
    </row>
    <row r="1913" spans="1:15" ht="15.75" customHeight="1">
      <c r="A1913" s="1"/>
      <c r="B1913" s="1"/>
      <c r="C1913" s="1"/>
      <c r="D1913" s="1"/>
      <c r="E1913" s="1"/>
      <c r="F1913" s="1"/>
      <c r="H1913" s="1"/>
      <c r="I1913" s="1"/>
      <c r="J1913" s="1"/>
      <c r="K1913" s="1"/>
      <c r="O1913" s="1"/>
    </row>
    <row r="1914" spans="1:15" ht="15.75" customHeight="1">
      <c r="A1914" s="1"/>
      <c r="B1914" s="1"/>
      <c r="C1914" s="1"/>
      <c r="D1914" s="1"/>
      <c r="E1914" s="1"/>
      <c r="F1914" s="1"/>
      <c r="H1914" s="1"/>
      <c r="I1914" s="1"/>
      <c r="O1914" s="1"/>
    </row>
    <row r="1915" spans="1:15" ht="15.75" customHeight="1">
      <c r="A1915" s="1"/>
      <c r="B1915" s="1"/>
      <c r="C1915" s="1"/>
      <c r="D1915" s="1"/>
      <c r="E1915" s="1"/>
      <c r="F1915" s="1"/>
      <c r="H1915" s="1"/>
      <c r="I1915" s="1"/>
      <c r="J1915" s="1"/>
      <c r="K1915" s="1"/>
      <c r="O1915" s="1"/>
    </row>
    <row r="1916" spans="1:15" ht="15.75" customHeight="1">
      <c r="A1916" s="1"/>
      <c r="B1916" s="1"/>
      <c r="C1916" s="1"/>
      <c r="D1916" s="1"/>
      <c r="E1916" s="1"/>
      <c r="F1916" s="1"/>
      <c r="H1916" s="1"/>
      <c r="I1916" s="1"/>
      <c r="J1916" s="1"/>
      <c r="K1916" s="1"/>
      <c r="O1916" s="1"/>
    </row>
    <row r="1917" spans="1:15" ht="15.75" customHeight="1">
      <c r="A1917" s="1"/>
      <c r="B1917" s="1"/>
      <c r="C1917" s="1"/>
      <c r="D1917" s="1"/>
      <c r="F1917" s="1"/>
      <c r="H1917" s="1"/>
      <c r="I1917" s="1"/>
      <c r="J1917" s="1"/>
      <c r="K1917" s="1"/>
      <c r="O1917" s="1"/>
    </row>
    <row r="1918" spans="1:15" ht="15.75" customHeight="1">
      <c r="A1918" s="1"/>
      <c r="B1918" s="1"/>
      <c r="C1918" s="1"/>
      <c r="D1918" s="1"/>
      <c r="E1918" s="1"/>
      <c r="F1918" s="1"/>
      <c r="H1918" s="1"/>
      <c r="I1918" s="1"/>
      <c r="K1918" s="1"/>
      <c r="O1918" s="1"/>
    </row>
    <row r="1919" spans="1:15" ht="15.75" customHeight="1">
      <c r="A1919" s="1"/>
      <c r="B1919" s="1"/>
      <c r="C1919" s="1"/>
      <c r="D1919" s="1"/>
      <c r="E1919" s="1"/>
      <c r="F1919" s="1"/>
      <c r="H1919" s="1"/>
      <c r="I1919" s="1"/>
      <c r="J1919" s="1"/>
      <c r="K1919" s="1"/>
      <c r="O1919" s="1"/>
    </row>
    <row r="1920" spans="1:15" ht="15.75" customHeight="1">
      <c r="A1920" s="1"/>
      <c r="B1920" s="1"/>
      <c r="C1920" s="1"/>
      <c r="D1920" s="1"/>
      <c r="E1920" s="1"/>
      <c r="F1920" s="1"/>
      <c r="H1920" s="1"/>
      <c r="I1920" s="1"/>
      <c r="J1920" s="1"/>
      <c r="O1920" s="1"/>
    </row>
    <row r="1921" spans="1:15" ht="15.75" customHeight="1">
      <c r="A1921" s="1"/>
      <c r="B1921" s="1"/>
      <c r="C1921" s="1"/>
      <c r="D1921" s="1"/>
      <c r="E1921" s="1"/>
      <c r="F1921" s="1"/>
      <c r="H1921" s="1"/>
      <c r="I1921" s="1"/>
      <c r="J1921" s="1"/>
      <c r="K1921" s="1"/>
      <c r="O1921" s="1"/>
    </row>
    <row r="1922" spans="1:15" ht="15.75" customHeight="1">
      <c r="A1922" s="1"/>
      <c r="B1922" s="1"/>
      <c r="C1922" s="1"/>
      <c r="D1922" s="1"/>
      <c r="E1922" s="1"/>
      <c r="F1922" s="1"/>
      <c r="H1922" s="1"/>
      <c r="I1922" s="1"/>
      <c r="J1922" s="1"/>
      <c r="K1922" s="1"/>
      <c r="O1922" s="1"/>
    </row>
    <row r="1923" spans="1:15" ht="15.75" customHeight="1">
      <c r="A1923" s="1"/>
      <c r="B1923" s="1"/>
      <c r="C1923" s="1"/>
      <c r="D1923" s="1"/>
      <c r="F1923" s="1"/>
      <c r="H1923" s="1"/>
      <c r="I1923" s="1"/>
      <c r="J1923" s="1"/>
      <c r="K1923" s="1"/>
      <c r="O1923" s="1"/>
    </row>
    <row r="1924" spans="1:15" ht="15.75" customHeight="1">
      <c r="A1924" s="1"/>
      <c r="B1924" s="1"/>
      <c r="C1924" s="1"/>
      <c r="D1924" s="1"/>
      <c r="E1924" s="1"/>
      <c r="F1924" s="1"/>
      <c r="G1924" s="1"/>
      <c r="H1924" s="1"/>
      <c r="I1924" s="1"/>
      <c r="K1924" s="1"/>
      <c r="O1924" s="1"/>
    </row>
    <row r="1925" spans="1:15" ht="15.75" customHeight="1">
      <c r="A1925" s="1"/>
      <c r="B1925" s="1"/>
      <c r="C1925" s="1"/>
      <c r="D1925" s="1"/>
      <c r="E1925" s="1"/>
      <c r="F1925" s="1"/>
      <c r="H1925" s="1"/>
      <c r="I1925" s="1"/>
      <c r="J1925" s="1"/>
      <c r="K1925" s="1"/>
      <c r="O1925" s="1"/>
    </row>
    <row r="1926" spans="1:15" ht="15.75" customHeight="1">
      <c r="A1926" s="1"/>
      <c r="B1926" s="1"/>
      <c r="C1926" s="1"/>
      <c r="D1926" s="1"/>
      <c r="E1926" s="1"/>
      <c r="F1926" s="1"/>
      <c r="H1926" s="1"/>
      <c r="I1926" s="1"/>
      <c r="J1926" s="1"/>
      <c r="K1926" s="1"/>
      <c r="O1926" s="1"/>
    </row>
    <row r="1927" spans="1:15" ht="15.75" customHeight="1">
      <c r="A1927" s="1"/>
      <c r="B1927" s="1"/>
      <c r="C1927" s="1"/>
      <c r="D1927" s="1"/>
      <c r="F1927" s="1"/>
      <c r="H1927" s="1"/>
      <c r="I1927" s="1"/>
      <c r="J1927" s="1"/>
      <c r="K1927" s="1"/>
      <c r="O1927" s="1"/>
    </row>
  </sheetData>
  <autoFilter ref="A1:Q1927" xr:uid="{00000000-0009-0000-0000-000000000000}">
    <sortState xmlns:xlrd2="http://schemas.microsoft.com/office/spreadsheetml/2017/richdata2" ref="A2:Q1927">
      <sortCondition ref="I1:I1927"/>
    </sortState>
  </autoFilter>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Q1923"/>
  <sheetViews>
    <sheetView tabSelected="1" workbookViewId="0">
      <selection activeCell="C1285" sqref="C1285"/>
    </sheetView>
  </sheetViews>
  <sheetFormatPr baseColWidth="10" defaultColWidth="11.1640625" defaultRowHeight="15" customHeight="1"/>
  <cols>
    <col min="1" max="1" width="21.5" customWidth="1"/>
    <col min="2" max="2" width="43.33203125" customWidth="1"/>
    <col min="3" max="3" width="110.33203125" customWidth="1"/>
    <col min="4" max="4" width="24.5" customWidth="1"/>
    <col min="5" max="5" width="19.1640625" customWidth="1"/>
    <col min="6" max="6" width="12.1640625" customWidth="1"/>
    <col min="7" max="14" width="8.83203125" customWidth="1"/>
    <col min="15" max="15" width="33.6640625" customWidth="1"/>
    <col min="16" max="17" width="8.83203125" customWidth="1"/>
  </cols>
  <sheetData>
    <row r="1" spans="1:17" ht="15.75" customHeight="1">
      <c r="A1" s="1" t="s">
        <v>7085</v>
      </c>
      <c r="B1" s="1" t="s">
        <v>7086</v>
      </c>
      <c r="C1" s="2" t="s">
        <v>7087</v>
      </c>
      <c r="D1" s="1" t="s">
        <v>7088</v>
      </c>
      <c r="E1" s="1" t="s">
        <v>7090</v>
      </c>
      <c r="F1" s="1" t="s">
        <v>7091</v>
      </c>
      <c r="G1" s="1" t="s">
        <v>7099</v>
      </c>
      <c r="H1" s="1" t="s">
        <v>7100</v>
      </c>
      <c r="I1" s="1" t="s">
        <v>7089</v>
      </c>
      <c r="J1" s="1" t="s">
        <v>7092</v>
      </c>
      <c r="K1" s="1" t="s">
        <v>7093</v>
      </c>
      <c r="L1" s="1" t="s">
        <v>7094</v>
      </c>
      <c r="M1" s="1" t="s">
        <v>7095</v>
      </c>
      <c r="N1" s="1" t="s">
        <v>7093</v>
      </c>
      <c r="O1" s="1" t="s">
        <v>7096</v>
      </c>
      <c r="P1" s="1" t="s">
        <v>7097</v>
      </c>
      <c r="Q1" s="1" t="s">
        <v>7098</v>
      </c>
    </row>
    <row r="2" spans="1:17" ht="15.75" customHeight="1">
      <c r="A2" s="1" t="s">
        <v>10</v>
      </c>
      <c r="B2" s="1" t="s">
        <v>3526</v>
      </c>
      <c r="C2" s="1" t="s">
        <v>3527</v>
      </c>
      <c r="D2" s="1" t="s">
        <v>1961</v>
      </c>
      <c r="E2" s="1" t="s">
        <v>3528</v>
      </c>
      <c r="F2" s="1" t="s">
        <v>3529</v>
      </c>
      <c r="H2" s="1">
        <v>61</v>
      </c>
      <c r="I2" s="1">
        <v>2010</v>
      </c>
      <c r="J2" s="1">
        <v>37</v>
      </c>
      <c r="K2" s="1">
        <v>5</v>
      </c>
      <c r="O2" s="1" t="s">
        <v>3530</v>
      </c>
    </row>
    <row r="3" spans="1:17" ht="15.75" customHeight="1">
      <c r="A3" s="1" t="s">
        <v>0</v>
      </c>
      <c r="B3" s="1" t="s">
        <v>3743</v>
      </c>
      <c r="C3" s="1" t="s">
        <v>3744</v>
      </c>
      <c r="D3" s="1" t="s">
        <v>3745</v>
      </c>
      <c r="E3" s="1" t="s">
        <v>3746</v>
      </c>
      <c r="F3" s="1" t="s">
        <v>3747</v>
      </c>
      <c r="G3" s="1">
        <v>40</v>
      </c>
      <c r="H3" s="1">
        <v>53</v>
      </c>
      <c r="I3" s="1">
        <v>2010</v>
      </c>
      <c r="J3" s="1">
        <v>33</v>
      </c>
      <c r="K3" s="1">
        <v>2</v>
      </c>
      <c r="L3" s="1">
        <v>157</v>
      </c>
      <c r="M3" s="1">
        <v>180</v>
      </c>
      <c r="N3" s="1" t="s">
        <v>6</v>
      </c>
      <c r="O3" s="1" t="s">
        <v>3748</v>
      </c>
      <c r="P3" s="3" t="str">
        <f>HYPERLINK("http://dx.doi.org/10.1177/0160017609336998","http://dx.doi.org/10.1177/0160017609336998")</f>
        <v>http://dx.doi.org/10.1177/0160017609336998</v>
      </c>
    </row>
    <row r="4" spans="1:17" ht="15.75" customHeight="1">
      <c r="A4" s="1" t="s">
        <v>10</v>
      </c>
      <c r="B4" s="1" t="s">
        <v>3357</v>
      </c>
      <c r="C4" s="1" t="s">
        <v>3358</v>
      </c>
      <c r="D4" s="1" t="s">
        <v>3359</v>
      </c>
      <c r="E4" s="1" t="s">
        <v>3360</v>
      </c>
      <c r="F4" s="1" t="s">
        <v>3361</v>
      </c>
      <c r="H4" s="1">
        <v>38</v>
      </c>
      <c r="I4" s="1">
        <v>2010</v>
      </c>
      <c r="J4" s="1">
        <v>22</v>
      </c>
      <c r="K4" s="1">
        <v>1</v>
      </c>
      <c r="O4" s="1" t="s">
        <v>3362</v>
      </c>
    </row>
    <row r="5" spans="1:17" ht="15.75" customHeight="1">
      <c r="A5" s="1" t="s">
        <v>10</v>
      </c>
      <c r="B5" s="1" t="s">
        <v>86</v>
      </c>
      <c r="C5" s="1" t="s">
        <v>87</v>
      </c>
      <c r="D5" s="1" t="s">
        <v>88</v>
      </c>
      <c r="E5" s="1" t="s">
        <v>89</v>
      </c>
      <c r="F5" s="1" t="s">
        <v>90</v>
      </c>
      <c r="H5" s="1">
        <v>34</v>
      </c>
      <c r="I5" s="1">
        <v>2010</v>
      </c>
      <c r="J5" s="1">
        <v>38</v>
      </c>
      <c r="K5" s="1">
        <v>7</v>
      </c>
      <c r="O5" s="1" t="s">
        <v>91</v>
      </c>
    </row>
    <row r="6" spans="1:17" ht="15.75" customHeight="1">
      <c r="A6" s="1" t="s">
        <v>0</v>
      </c>
      <c r="B6" s="1" t="s">
        <v>1931</v>
      </c>
      <c r="C6" s="1" t="s">
        <v>1932</v>
      </c>
      <c r="D6" s="1" t="s">
        <v>1933</v>
      </c>
      <c r="E6" s="1" t="s">
        <v>1934</v>
      </c>
      <c r="F6" s="1" t="s">
        <v>1935</v>
      </c>
      <c r="G6" s="1">
        <v>39</v>
      </c>
      <c r="H6" s="1">
        <v>26</v>
      </c>
      <c r="I6" s="1">
        <v>2010</v>
      </c>
      <c r="J6" s="1">
        <v>36</v>
      </c>
      <c r="K6" s="1">
        <v>108</v>
      </c>
      <c r="L6" s="1">
        <v>95</v>
      </c>
      <c r="M6" s="1">
        <v>121</v>
      </c>
      <c r="N6" s="1" t="s">
        <v>6</v>
      </c>
      <c r="O6" s="1" t="s">
        <v>6</v>
      </c>
      <c r="P6" s="1" t="s">
        <v>6</v>
      </c>
    </row>
    <row r="7" spans="1:17" ht="15.75" customHeight="1">
      <c r="A7" s="1" t="s">
        <v>0</v>
      </c>
      <c r="B7" s="1" t="s">
        <v>4943</v>
      </c>
      <c r="C7" s="1" t="s">
        <v>4944</v>
      </c>
      <c r="D7" s="1" t="s">
        <v>4945</v>
      </c>
      <c r="E7" s="1" t="s">
        <v>4946</v>
      </c>
      <c r="F7" s="1" t="s">
        <v>4947</v>
      </c>
      <c r="G7" s="1">
        <v>54</v>
      </c>
      <c r="H7" s="1">
        <v>23</v>
      </c>
      <c r="I7" s="1">
        <v>2010</v>
      </c>
      <c r="J7" s="1">
        <v>16</v>
      </c>
      <c r="K7" s="1">
        <v>8</v>
      </c>
      <c r="L7" s="1">
        <v>881</v>
      </c>
      <c r="M7" s="1">
        <v>901</v>
      </c>
      <c r="N7" s="1" t="s">
        <v>6</v>
      </c>
      <c r="O7" s="1" t="s">
        <v>4948</v>
      </c>
      <c r="P7" s="3" t="str">
        <f>HYPERLINK("http://dx.doi.org/10.1177/1077801210376224","http://dx.doi.org/10.1177/1077801210376224")</f>
        <v>http://dx.doi.org/10.1177/1077801210376224</v>
      </c>
    </row>
    <row r="8" spans="1:17" ht="15.75" customHeight="1">
      <c r="A8" s="1" t="s">
        <v>10</v>
      </c>
      <c r="B8" s="1" t="s">
        <v>944</v>
      </c>
      <c r="C8" s="1" t="s">
        <v>945</v>
      </c>
      <c r="D8" s="1" t="s">
        <v>946</v>
      </c>
      <c r="E8" s="1" t="s">
        <v>947</v>
      </c>
      <c r="F8" s="1" t="s">
        <v>948</v>
      </c>
      <c r="H8" s="1">
        <v>23</v>
      </c>
      <c r="I8" s="1">
        <v>2010</v>
      </c>
      <c r="J8" s="1">
        <v>15</v>
      </c>
      <c r="K8" s="1">
        <v>1</v>
      </c>
      <c r="O8" s="1" t="s">
        <v>949</v>
      </c>
    </row>
    <row r="9" spans="1:17" ht="15.75" customHeight="1">
      <c r="A9" s="1" t="s">
        <v>10</v>
      </c>
      <c r="B9" s="1" t="s">
        <v>1706</v>
      </c>
      <c r="C9" s="1" t="s">
        <v>1707</v>
      </c>
      <c r="D9" s="1" t="s">
        <v>662</v>
      </c>
      <c r="E9" s="1" t="s">
        <v>1708</v>
      </c>
      <c r="F9" s="1" t="s">
        <v>1709</v>
      </c>
      <c r="H9" s="1">
        <v>22</v>
      </c>
      <c r="I9" s="1">
        <v>2010</v>
      </c>
      <c r="J9" s="1">
        <v>8</v>
      </c>
      <c r="K9" s="1">
        <v>2</v>
      </c>
      <c r="O9" s="1" t="s">
        <v>1710</v>
      </c>
    </row>
    <row r="10" spans="1:17" s="11" customFormat="1" ht="15.75" customHeight="1">
      <c r="A10" s="10" t="s">
        <v>0</v>
      </c>
      <c r="B10" s="10" t="s">
        <v>1390</v>
      </c>
      <c r="C10" s="10" t="s">
        <v>1391</v>
      </c>
      <c r="D10" s="10" t="s">
        <v>1392</v>
      </c>
      <c r="E10" s="10" t="s">
        <v>1393</v>
      </c>
      <c r="F10" s="10" t="s">
        <v>1394</v>
      </c>
      <c r="G10" s="10">
        <v>17</v>
      </c>
      <c r="H10" s="10">
        <v>20</v>
      </c>
      <c r="I10" s="10">
        <v>2010</v>
      </c>
      <c r="J10" s="10">
        <v>41</v>
      </c>
      <c r="K10" s="10">
        <v>2</v>
      </c>
      <c r="L10" s="10">
        <v>205</v>
      </c>
      <c r="M10" s="10" t="s">
        <v>1395</v>
      </c>
      <c r="N10" s="10" t="s">
        <v>6</v>
      </c>
      <c r="O10" s="10" t="s">
        <v>1396</v>
      </c>
      <c r="P10" s="12" t="str">
        <f>HYPERLINK("http://dx.doi.org/10.3138/jcfs.41.2.205","http://dx.doi.org/10.3138/jcfs.41.2.205")</f>
        <v>http://dx.doi.org/10.3138/jcfs.41.2.205</v>
      </c>
    </row>
    <row r="11" spans="1:17" ht="15.75" customHeight="1">
      <c r="A11" s="1" t="s">
        <v>10</v>
      </c>
      <c r="B11" s="1" t="s">
        <v>6339</v>
      </c>
      <c r="C11" s="1" t="s">
        <v>6340</v>
      </c>
      <c r="D11" s="1" t="s">
        <v>1961</v>
      </c>
      <c r="E11" s="1" t="s">
        <v>6341</v>
      </c>
      <c r="F11" s="1" t="s">
        <v>6342</v>
      </c>
      <c r="H11" s="1">
        <v>17</v>
      </c>
      <c r="I11" s="1">
        <v>2010</v>
      </c>
      <c r="J11" s="1">
        <v>37</v>
      </c>
      <c r="K11" s="1">
        <v>5</v>
      </c>
      <c r="O11" s="1" t="s">
        <v>6343</v>
      </c>
    </row>
    <row r="12" spans="1:17" ht="15.75" customHeight="1">
      <c r="A12" s="1" t="s">
        <v>10</v>
      </c>
      <c r="B12" s="1" t="s">
        <v>4836</v>
      </c>
      <c r="C12" s="1" t="s">
        <v>4837</v>
      </c>
      <c r="D12" s="1" t="s">
        <v>1086</v>
      </c>
      <c r="F12" s="1" t="s">
        <v>4838</v>
      </c>
      <c r="H12" s="1">
        <v>16</v>
      </c>
      <c r="I12" s="1">
        <v>2010</v>
      </c>
      <c r="J12" s="1">
        <v>52</v>
      </c>
      <c r="K12" s="1">
        <v>2</v>
      </c>
      <c r="O12" s="1" t="s">
        <v>4839</v>
      </c>
    </row>
    <row r="13" spans="1:17" s="11" customFormat="1" ht="15.75" customHeight="1">
      <c r="A13" s="10" t="s">
        <v>10</v>
      </c>
      <c r="B13" s="10" t="s">
        <v>1959</v>
      </c>
      <c r="C13" s="10" t="s">
        <v>1960</v>
      </c>
      <c r="D13" s="10" t="s">
        <v>1961</v>
      </c>
      <c r="E13" s="10" t="s">
        <v>1962</v>
      </c>
      <c r="F13" s="10" t="s">
        <v>1963</v>
      </c>
      <c r="H13" s="10">
        <v>12</v>
      </c>
      <c r="I13" s="10">
        <v>2010</v>
      </c>
      <c r="J13" s="10">
        <v>37</v>
      </c>
      <c r="K13" s="10">
        <v>5</v>
      </c>
      <c r="O13" s="10" t="s">
        <v>1964</v>
      </c>
    </row>
    <row r="14" spans="1:17" ht="15.75" customHeight="1">
      <c r="A14" s="1" t="s">
        <v>10</v>
      </c>
      <c r="B14" s="1" t="s">
        <v>5741</v>
      </c>
      <c r="C14" s="1" t="s">
        <v>5742</v>
      </c>
      <c r="D14" s="1" t="s">
        <v>479</v>
      </c>
      <c r="E14" s="1" t="s">
        <v>5743</v>
      </c>
      <c r="F14" s="1" t="s">
        <v>5744</v>
      </c>
      <c r="H14" s="1">
        <v>12</v>
      </c>
      <c r="I14" s="1">
        <v>2010</v>
      </c>
      <c r="J14" s="1">
        <v>44</v>
      </c>
      <c r="K14" s="1">
        <v>4</v>
      </c>
      <c r="O14" s="1" t="s">
        <v>5745</v>
      </c>
    </row>
    <row r="15" spans="1:17" ht="15.75" customHeight="1">
      <c r="A15" s="1" t="s">
        <v>10</v>
      </c>
      <c r="B15" s="1" t="s">
        <v>181</v>
      </c>
      <c r="C15" s="1" t="s">
        <v>182</v>
      </c>
      <c r="D15" s="1" t="s">
        <v>183</v>
      </c>
      <c r="E15" s="1" t="s">
        <v>184</v>
      </c>
      <c r="F15" s="1" t="s">
        <v>185</v>
      </c>
      <c r="H15" s="1">
        <v>12</v>
      </c>
      <c r="I15" s="1">
        <v>2010</v>
      </c>
      <c r="J15" s="1">
        <v>8</v>
      </c>
      <c r="K15" s="1">
        <v>1</v>
      </c>
      <c r="O15" s="1" t="s">
        <v>186</v>
      </c>
    </row>
    <row r="16" spans="1:17" ht="15.75" customHeight="1">
      <c r="A16" s="1" t="s">
        <v>0</v>
      </c>
      <c r="B16" s="1" t="s">
        <v>6151</v>
      </c>
      <c r="C16" s="1" t="s">
        <v>6152</v>
      </c>
      <c r="D16" s="1" t="s">
        <v>3963</v>
      </c>
      <c r="E16" s="1" t="s">
        <v>6153</v>
      </c>
      <c r="F16" s="1" t="s">
        <v>6154</v>
      </c>
      <c r="G16" s="1">
        <v>18</v>
      </c>
      <c r="H16" s="1">
        <v>12</v>
      </c>
      <c r="I16" s="1">
        <v>2010</v>
      </c>
      <c r="J16" s="1">
        <v>38</v>
      </c>
      <c r="K16" s="1">
        <v>2</v>
      </c>
      <c r="L16" s="1">
        <v>89</v>
      </c>
      <c r="M16" s="1">
        <v>101</v>
      </c>
      <c r="N16" s="1" t="s">
        <v>6</v>
      </c>
      <c r="O16" s="1" t="s">
        <v>6</v>
      </c>
      <c r="P16" s="1" t="s">
        <v>6</v>
      </c>
    </row>
    <row r="17" spans="1:16" ht="15.75" customHeight="1">
      <c r="A17" s="1" t="s">
        <v>10</v>
      </c>
      <c r="B17" s="1" t="s">
        <v>4937</v>
      </c>
      <c r="C17" s="1" t="s">
        <v>4938</v>
      </c>
      <c r="D17" s="1" t="s">
        <v>4939</v>
      </c>
      <c r="E17" s="1" t="s">
        <v>4940</v>
      </c>
      <c r="F17" s="1" t="s">
        <v>4941</v>
      </c>
      <c r="H17" s="1">
        <v>11</v>
      </c>
      <c r="I17" s="1">
        <v>2010</v>
      </c>
      <c r="J17" s="1">
        <v>24</v>
      </c>
      <c r="K17" s="1">
        <v>1</v>
      </c>
      <c r="O17" s="1" t="s">
        <v>4942</v>
      </c>
    </row>
    <row r="18" spans="1:16" ht="15.75" customHeight="1">
      <c r="A18" s="1" t="s">
        <v>0</v>
      </c>
      <c r="B18" s="1" t="s">
        <v>1150</v>
      </c>
      <c r="C18" s="1" t="s">
        <v>1151</v>
      </c>
      <c r="D18" s="1" t="s">
        <v>1152</v>
      </c>
      <c r="E18" s="8" t="s">
        <v>7114</v>
      </c>
      <c r="F18" s="1" t="s">
        <v>1153</v>
      </c>
      <c r="G18" s="1">
        <v>57</v>
      </c>
      <c r="H18" s="1">
        <v>10</v>
      </c>
      <c r="I18" s="1">
        <v>2010</v>
      </c>
      <c r="J18" s="1">
        <v>4</v>
      </c>
      <c r="K18" s="1">
        <v>2</v>
      </c>
      <c r="L18" s="1">
        <v>220</v>
      </c>
      <c r="M18" s="1">
        <v>233</v>
      </c>
      <c r="N18" s="1" t="s">
        <v>6</v>
      </c>
      <c r="O18" s="1" t="s">
        <v>6</v>
      </c>
      <c r="P18" s="1" t="s">
        <v>6</v>
      </c>
    </row>
    <row r="19" spans="1:16" ht="15.75" customHeight="1">
      <c r="A19" s="1" t="s">
        <v>0</v>
      </c>
      <c r="B19" s="1" t="s">
        <v>3563</v>
      </c>
      <c r="C19" s="1" t="s">
        <v>3564</v>
      </c>
      <c r="D19" s="1" t="s">
        <v>3565</v>
      </c>
      <c r="E19" s="1" t="s">
        <v>3566</v>
      </c>
      <c r="F19" s="1" t="s">
        <v>3567</v>
      </c>
      <c r="G19" s="1">
        <v>15</v>
      </c>
      <c r="H19" s="1">
        <v>8</v>
      </c>
      <c r="I19" s="1">
        <v>2010</v>
      </c>
      <c r="J19" s="1">
        <v>5</v>
      </c>
      <c r="K19" s="1" t="s">
        <v>605</v>
      </c>
    </row>
    <row r="20" spans="1:16" ht="15.75" customHeight="1">
      <c r="A20" s="1" t="s">
        <v>0</v>
      </c>
      <c r="B20" s="1" t="s">
        <v>3940</v>
      </c>
      <c r="C20" s="1" t="s">
        <v>3941</v>
      </c>
      <c r="D20" s="1" t="s">
        <v>1506</v>
      </c>
      <c r="E20" s="1" t="s">
        <v>3942</v>
      </c>
      <c r="F20" s="1" t="s">
        <v>3943</v>
      </c>
      <c r="G20" s="1">
        <v>33</v>
      </c>
      <c r="H20" s="1">
        <v>4</v>
      </c>
      <c r="I20" s="1">
        <v>2010</v>
      </c>
      <c r="J20" s="1">
        <v>14</v>
      </c>
      <c r="K20" s="1">
        <v>331</v>
      </c>
      <c r="L20" s="1" t="s">
        <v>6</v>
      </c>
      <c r="M20" s="1" t="s">
        <v>6</v>
      </c>
      <c r="N20" s="1" t="s">
        <v>6</v>
      </c>
      <c r="O20" s="1" t="s">
        <v>6</v>
      </c>
      <c r="P20" s="1" t="s">
        <v>6</v>
      </c>
    </row>
    <row r="21" spans="1:16" ht="15.75" customHeight="1">
      <c r="A21" s="1" t="s">
        <v>0</v>
      </c>
      <c r="B21" s="1" t="s">
        <v>4059</v>
      </c>
      <c r="C21" s="1" t="s">
        <v>4060</v>
      </c>
      <c r="D21" s="1" t="s">
        <v>1009</v>
      </c>
      <c r="E21" s="1" t="s">
        <v>4061</v>
      </c>
      <c r="F21" s="1" t="s">
        <v>4062</v>
      </c>
      <c r="G21" s="1">
        <v>20</v>
      </c>
      <c r="H21" s="1">
        <v>4</v>
      </c>
      <c r="I21" s="1">
        <v>2010</v>
      </c>
      <c r="J21" s="1">
        <v>16</v>
      </c>
      <c r="K21" s="1">
        <v>64</v>
      </c>
      <c r="L21" s="1">
        <v>9</v>
      </c>
      <c r="M21" s="1">
        <v>29</v>
      </c>
      <c r="N21" s="1" t="s">
        <v>6</v>
      </c>
      <c r="O21" s="1" t="s">
        <v>6</v>
      </c>
      <c r="P21" s="1" t="s">
        <v>6</v>
      </c>
    </row>
    <row r="22" spans="1:16" ht="15.75" customHeight="1">
      <c r="A22" s="1" t="s">
        <v>0</v>
      </c>
      <c r="B22" s="1" t="s">
        <v>2321</v>
      </c>
      <c r="C22" s="1" t="s">
        <v>2322</v>
      </c>
      <c r="D22" s="1" t="s">
        <v>2323</v>
      </c>
      <c r="E22" s="1" t="s">
        <v>2324</v>
      </c>
      <c r="F22" s="1" t="s">
        <v>2325</v>
      </c>
      <c r="G22" s="1">
        <v>30</v>
      </c>
      <c r="H22" s="1">
        <v>1</v>
      </c>
      <c r="I22" s="1">
        <v>2010</v>
      </c>
      <c r="J22" s="1">
        <v>30</v>
      </c>
      <c r="K22" s="1">
        <v>3</v>
      </c>
      <c r="L22" s="1">
        <v>697</v>
      </c>
      <c r="M22" s="1">
        <v>721</v>
      </c>
      <c r="N22" s="1" t="s">
        <v>6</v>
      </c>
      <c r="O22" s="1" t="s">
        <v>6</v>
      </c>
      <c r="P22" s="1" t="s">
        <v>6</v>
      </c>
    </row>
    <row r="23" spans="1:16" ht="15.75" customHeight="1">
      <c r="A23" s="1" t="s">
        <v>10</v>
      </c>
      <c r="B23" s="1" t="s">
        <v>4759</v>
      </c>
      <c r="C23" s="1" t="s">
        <v>4760</v>
      </c>
      <c r="D23" s="1" t="s">
        <v>4761</v>
      </c>
      <c r="E23" s="1" t="s">
        <v>4762</v>
      </c>
      <c r="F23" s="1" t="s">
        <v>4763</v>
      </c>
      <c r="H23" s="1">
        <v>0</v>
      </c>
      <c r="I23" s="1">
        <v>2010</v>
      </c>
      <c r="J23" s="1">
        <v>11</v>
      </c>
      <c r="K23" s="1">
        <v>2</v>
      </c>
      <c r="O23" s="1" t="s">
        <v>4764</v>
      </c>
    </row>
    <row r="24" spans="1:16" ht="15.75" customHeight="1">
      <c r="A24" s="1" t="s">
        <v>10</v>
      </c>
      <c r="B24" s="1" t="s">
        <v>62</v>
      </c>
      <c r="C24" s="1" t="s">
        <v>63</v>
      </c>
      <c r="D24" s="1" t="s">
        <v>64</v>
      </c>
      <c r="E24" s="1" t="s">
        <v>65</v>
      </c>
      <c r="F24" s="1" t="s">
        <v>66</v>
      </c>
      <c r="H24" s="1">
        <v>0</v>
      </c>
      <c r="I24" s="1">
        <v>2010</v>
      </c>
      <c r="J24" s="1">
        <v>186</v>
      </c>
      <c r="K24" s="1">
        <v>741</v>
      </c>
      <c r="O24" s="1" t="s">
        <v>67</v>
      </c>
    </row>
    <row r="25" spans="1:16" ht="15.75" customHeight="1">
      <c r="A25" s="1" t="s">
        <v>0</v>
      </c>
      <c r="B25" s="1" t="s">
        <v>6841</v>
      </c>
      <c r="C25" s="1" t="s">
        <v>6842</v>
      </c>
      <c r="D25" s="1" t="s">
        <v>1021</v>
      </c>
      <c r="E25" s="1" t="s">
        <v>6843</v>
      </c>
      <c r="F25" s="1" t="s">
        <v>6844</v>
      </c>
      <c r="G25" s="1">
        <v>34</v>
      </c>
      <c r="H25" s="1">
        <v>0</v>
      </c>
      <c r="I25" s="1">
        <v>2010</v>
      </c>
      <c r="J25" s="1" t="s">
        <v>6</v>
      </c>
      <c r="K25" s="1">
        <v>501</v>
      </c>
      <c r="L25" s="1">
        <v>73</v>
      </c>
      <c r="M25" s="1">
        <v>94</v>
      </c>
      <c r="N25" s="1" t="s">
        <v>6</v>
      </c>
      <c r="O25" s="1" t="s">
        <v>6</v>
      </c>
      <c r="P25" s="1" t="s">
        <v>6</v>
      </c>
    </row>
    <row r="26" spans="1:16" ht="15.75" customHeight="1">
      <c r="A26" s="1" t="s">
        <v>900</v>
      </c>
      <c r="B26" s="1" t="s">
        <v>901</v>
      </c>
      <c r="C26" s="1" t="s">
        <v>902</v>
      </c>
      <c r="D26" s="1" t="s">
        <v>903</v>
      </c>
      <c r="E26" s="1" t="s">
        <v>7108</v>
      </c>
      <c r="F26" s="1" t="s">
        <v>904</v>
      </c>
      <c r="G26" s="1">
        <v>166</v>
      </c>
      <c r="H26" s="1">
        <v>175</v>
      </c>
      <c r="I26" s="1">
        <v>2011</v>
      </c>
      <c r="J26" s="1">
        <v>44</v>
      </c>
      <c r="K26" s="1" t="s">
        <v>6</v>
      </c>
      <c r="L26" s="1">
        <v>129</v>
      </c>
      <c r="M26" s="1">
        <v>184</v>
      </c>
      <c r="N26" s="1" t="s">
        <v>6</v>
      </c>
      <c r="O26" s="1" t="s">
        <v>905</v>
      </c>
      <c r="P26" s="3" t="str">
        <f>HYPERLINK("http://dx.doi.org/10.1016/B978-0-12-385522-0.00003-2","http://dx.doi.org/10.1016/B978-0-12-385522-0.00003-2")</f>
        <v>http://dx.doi.org/10.1016/B978-0-12-385522-0.00003-2</v>
      </c>
    </row>
    <row r="27" spans="1:16" ht="15.75" customHeight="1">
      <c r="A27" s="1" t="s">
        <v>10</v>
      </c>
      <c r="B27" s="1" t="s">
        <v>450</v>
      </c>
      <c r="C27" s="1" t="s">
        <v>451</v>
      </c>
      <c r="D27" s="1" t="s">
        <v>452</v>
      </c>
      <c r="E27" s="1" t="s">
        <v>453</v>
      </c>
      <c r="F27" s="1" t="s">
        <v>454</v>
      </c>
      <c r="H27" s="1">
        <v>64</v>
      </c>
      <c r="I27" s="1">
        <v>2011</v>
      </c>
      <c r="J27" s="1">
        <v>36</v>
      </c>
      <c r="K27" s="1">
        <v>3</v>
      </c>
      <c r="O27" s="1" t="s">
        <v>455</v>
      </c>
    </row>
    <row r="28" spans="1:16" ht="15.75" customHeight="1">
      <c r="A28" s="1" t="s">
        <v>10</v>
      </c>
      <c r="B28" s="1" t="s">
        <v>4269</v>
      </c>
      <c r="C28" s="1" t="s">
        <v>4270</v>
      </c>
      <c r="D28" s="1" t="s">
        <v>4271</v>
      </c>
      <c r="E28" s="1" t="s">
        <v>4272</v>
      </c>
      <c r="F28" s="1" t="s">
        <v>4273</v>
      </c>
      <c r="H28" s="1">
        <v>34</v>
      </c>
      <c r="I28" s="1">
        <v>2011</v>
      </c>
      <c r="J28" s="1">
        <v>22</v>
      </c>
      <c r="K28" s="1">
        <v>1</v>
      </c>
      <c r="O28" s="1" t="s">
        <v>4274</v>
      </c>
    </row>
    <row r="29" spans="1:16" ht="15.75" customHeight="1">
      <c r="A29" s="1" t="s">
        <v>10</v>
      </c>
      <c r="B29" s="1" t="s">
        <v>3363</v>
      </c>
      <c r="C29" s="1" t="s">
        <v>3364</v>
      </c>
      <c r="D29" s="1" t="s">
        <v>2503</v>
      </c>
      <c r="E29" s="1" t="s">
        <v>3365</v>
      </c>
      <c r="F29" s="1" t="s">
        <v>3366</v>
      </c>
      <c r="H29" s="1">
        <v>19</v>
      </c>
      <c r="I29" s="1">
        <v>2011</v>
      </c>
      <c r="J29" s="1">
        <v>16</v>
      </c>
      <c r="K29" s="1">
        <v>6</v>
      </c>
      <c r="O29" s="1" t="s">
        <v>3367</v>
      </c>
    </row>
    <row r="30" spans="1:16" ht="15.75" customHeight="1">
      <c r="A30" s="1" t="s">
        <v>10</v>
      </c>
      <c r="B30" s="1" t="s">
        <v>4958</v>
      </c>
      <c r="C30" s="1" t="s">
        <v>4959</v>
      </c>
      <c r="D30" s="1" t="s">
        <v>1074</v>
      </c>
      <c r="E30" s="1" t="s">
        <v>4960</v>
      </c>
      <c r="F30" s="1" t="s">
        <v>4961</v>
      </c>
      <c r="H30" s="1">
        <v>18</v>
      </c>
      <c r="I30" s="1">
        <v>2011</v>
      </c>
      <c r="J30" s="1">
        <v>31</v>
      </c>
      <c r="K30" s="1">
        <v>2</v>
      </c>
      <c r="O30" s="1" t="s">
        <v>4962</v>
      </c>
    </row>
    <row r="31" spans="1:16" ht="15.75" customHeight="1">
      <c r="A31" s="1" t="s">
        <v>10</v>
      </c>
      <c r="B31" s="1" t="s">
        <v>3305</v>
      </c>
      <c r="C31" s="1" t="s">
        <v>3306</v>
      </c>
      <c r="D31" s="1" t="s">
        <v>3307</v>
      </c>
      <c r="E31" s="1" t="s">
        <v>3308</v>
      </c>
      <c r="F31" s="1" t="s">
        <v>3309</v>
      </c>
      <c r="H31" s="1">
        <v>17</v>
      </c>
      <c r="I31" s="1">
        <v>2011</v>
      </c>
      <c r="J31" s="1">
        <v>30</v>
      </c>
      <c r="K31" s="1">
        <v>3</v>
      </c>
      <c r="O31" s="1" t="s">
        <v>3310</v>
      </c>
    </row>
    <row r="32" spans="1:16" ht="15.75" customHeight="1">
      <c r="A32" s="1" t="s">
        <v>10</v>
      </c>
      <c r="B32" s="1" t="s">
        <v>840</v>
      </c>
      <c r="C32" s="1" t="s">
        <v>841</v>
      </c>
      <c r="D32" s="1" t="s">
        <v>842</v>
      </c>
      <c r="E32" s="1" t="s">
        <v>843</v>
      </c>
      <c r="F32" s="1" t="s">
        <v>844</v>
      </c>
      <c r="H32" s="1">
        <v>4</v>
      </c>
      <c r="I32" s="1">
        <v>2011</v>
      </c>
      <c r="J32" s="1">
        <v>66</v>
      </c>
      <c r="K32" s="1">
        <v>2</v>
      </c>
      <c r="O32" s="1" t="s">
        <v>845</v>
      </c>
    </row>
    <row r="33" spans="1:16" s="11" customFormat="1" ht="15.75" customHeight="1">
      <c r="A33" s="10" t="s">
        <v>10</v>
      </c>
      <c r="B33" s="10" t="s">
        <v>2537</v>
      </c>
      <c r="C33" s="10" t="s">
        <v>2538</v>
      </c>
      <c r="D33" s="10" t="s">
        <v>2539</v>
      </c>
      <c r="E33" s="10" t="s">
        <v>2540</v>
      </c>
      <c r="F33" s="10" t="s">
        <v>2541</v>
      </c>
      <c r="H33" s="10">
        <v>3</v>
      </c>
      <c r="I33" s="10">
        <v>2011</v>
      </c>
      <c r="J33" s="10">
        <v>51</v>
      </c>
      <c r="K33" s="10">
        <v>1</v>
      </c>
      <c r="O33" s="10" t="s">
        <v>2542</v>
      </c>
    </row>
    <row r="34" spans="1:16" ht="15.75" customHeight="1">
      <c r="A34" s="1" t="s">
        <v>10</v>
      </c>
      <c r="B34" s="1" t="s">
        <v>5892</v>
      </c>
      <c r="C34" s="1" t="s">
        <v>5893</v>
      </c>
      <c r="D34" s="1" t="s">
        <v>70</v>
      </c>
      <c r="E34" s="1" t="s">
        <v>5894</v>
      </c>
      <c r="F34" s="1" t="s">
        <v>5895</v>
      </c>
      <c r="H34" s="1">
        <v>2</v>
      </c>
      <c r="I34" s="1">
        <v>2011</v>
      </c>
      <c r="J34" s="1">
        <v>6</v>
      </c>
      <c r="K34" s="1">
        <v>2</v>
      </c>
    </row>
    <row r="35" spans="1:16" ht="15.75" customHeight="1">
      <c r="A35" s="1" t="s">
        <v>10</v>
      </c>
      <c r="B35" s="1" t="s">
        <v>6983</v>
      </c>
      <c r="C35" s="1" t="s">
        <v>6984</v>
      </c>
      <c r="D35" s="1" t="s">
        <v>1702</v>
      </c>
      <c r="E35" s="1" t="s">
        <v>6985</v>
      </c>
      <c r="F35" s="1" t="s">
        <v>6986</v>
      </c>
      <c r="H35" s="1">
        <v>1</v>
      </c>
      <c r="I35" s="1">
        <v>2011</v>
      </c>
      <c r="J35" s="1">
        <v>10</v>
      </c>
      <c r="K35" s="1">
        <v>1</v>
      </c>
      <c r="O35" s="1" t="s">
        <v>6987</v>
      </c>
    </row>
    <row r="36" spans="1:16" ht="15.75" customHeight="1">
      <c r="A36" s="1" t="s">
        <v>10</v>
      </c>
      <c r="B36" s="1" t="s">
        <v>6523</v>
      </c>
      <c r="C36" s="1" t="s">
        <v>6528</v>
      </c>
      <c r="D36" s="1" t="s">
        <v>6529</v>
      </c>
      <c r="F36" s="1" t="s">
        <v>6530</v>
      </c>
      <c r="H36" s="1">
        <v>0</v>
      </c>
      <c r="I36" s="1">
        <v>2011</v>
      </c>
      <c r="J36" s="1">
        <v>39</v>
      </c>
      <c r="K36" s="1">
        <v>4</v>
      </c>
      <c r="O36" s="1" t="s">
        <v>6531</v>
      </c>
    </row>
    <row r="37" spans="1:16" ht="15.75" customHeight="1">
      <c r="A37" s="1" t="s">
        <v>31</v>
      </c>
      <c r="B37" s="1" t="s">
        <v>6558</v>
      </c>
      <c r="C37" s="1" t="s">
        <v>6559</v>
      </c>
      <c r="D37" s="1" t="s">
        <v>6559</v>
      </c>
      <c r="E37" s="1" t="s">
        <v>6560</v>
      </c>
      <c r="F37" s="1" t="s">
        <v>6561</v>
      </c>
      <c r="H37" s="1">
        <v>401</v>
      </c>
      <c r="I37" s="1">
        <v>2012</v>
      </c>
      <c r="O37" s="1" t="s">
        <v>6562</v>
      </c>
    </row>
    <row r="38" spans="1:16" ht="15.75" customHeight="1">
      <c r="A38" s="1" t="s">
        <v>10</v>
      </c>
      <c r="B38" s="1" t="s">
        <v>1449</v>
      </c>
      <c r="C38" s="1" t="s">
        <v>1450</v>
      </c>
      <c r="D38" s="1" t="s">
        <v>1451</v>
      </c>
      <c r="E38" s="1" t="s">
        <v>1452</v>
      </c>
      <c r="F38" s="1" t="s">
        <v>1453</v>
      </c>
      <c r="H38" s="1">
        <v>109</v>
      </c>
      <c r="I38" s="1">
        <v>2012</v>
      </c>
      <c r="J38" s="1">
        <v>36</v>
      </c>
      <c r="K38" s="1">
        <v>3</v>
      </c>
      <c r="O38" s="1" t="s">
        <v>1454</v>
      </c>
    </row>
    <row r="39" spans="1:16" ht="15.75" customHeight="1">
      <c r="A39" s="1" t="s">
        <v>0</v>
      </c>
      <c r="B39" s="1" t="s">
        <v>4963</v>
      </c>
      <c r="C39" s="1" t="s">
        <v>4964</v>
      </c>
      <c r="D39" s="1" t="s">
        <v>58</v>
      </c>
      <c r="E39" s="1" t="s">
        <v>4965</v>
      </c>
      <c r="F39" s="1" t="s">
        <v>4966</v>
      </c>
      <c r="G39" s="1">
        <v>52</v>
      </c>
      <c r="H39" s="1">
        <v>63</v>
      </c>
      <c r="I39" s="1">
        <v>2012</v>
      </c>
      <c r="J39" s="1">
        <v>12</v>
      </c>
      <c r="K39" s="1" t="s">
        <v>378</v>
      </c>
    </row>
    <row r="40" spans="1:16" ht="15.75" customHeight="1">
      <c r="A40" s="1" t="s">
        <v>10</v>
      </c>
      <c r="B40" s="1" t="s">
        <v>1072</v>
      </c>
      <c r="C40" s="1" t="s">
        <v>1073</v>
      </c>
      <c r="D40" s="1" t="s">
        <v>1074</v>
      </c>
      <c r="E40" s="1" t="s">
        <v>1075</v>
      </c>
      <c r="F40" s="1" t="s">
        <v>1076</v>
      </c>
      <c r="H40" s="1">
        <v>61</v>
      </c>
      <c r="I40" s="1">
        <v>2012</v>
      </c>
      <c r="J40" s="1">
        <v>32</v>
      </c>
      <c r="K40" s="1">
        <v>2</v>
      </c>
      <c r="O40" s="1" t="s">
        <v>1077</v>
      </c>
    </row>
    <row r="41" spans="1:16" ht="15.75" customHeight="1">
      <c r="A41" s="1" t="s">
        <v>0</v>
      </c>
      <c r="B41" s="1" t="s">
        <v>5988</v>
      </c>
      <c r="C41" s="1" t="s">
        <v>5989</v>
      </c>
      <c r="D41" s="1" t="s">
        <v>1103</v>
      </c>
      <c r="E41" s="1" t="s">
        <v>5990</v>
      </c>
      <c r="F41" s="1" t="s">
        <v>5991</v>
      </c>
      <c r="G41" s="1">
        <v>67</v>
      </c>
      <c r="H41" s="1">
        <v>47</v>
      </c>
      <c r="I41" s="1">
        <v>2012</v>
      </c>
      <c r="J41" s="1">
        <v>39</v>
      </c>
      <c r="K41" s="1">
        <v>4</v>
      </c>
      <c r="L41" s="1">
        <v>181</v>
      </c>
      <c r="M41" s="1">
        <v>200</v>
      </c>
      <c r="N41" s="1" t="s">
        <v>6</v>
      </c>
      <c r="O41" s="1" t="s">
        <v>5992</v>
      </c>
      <c r="P41" s="3" t="str">
        <f>HYPERLINK("http://dx.doi.org/10.1177/0094582X12441519","http://dx.doi.org/10.1177/0094582X12441519")</f>
        <v>http://dx.doi.org/10.1177/0094582X12441519</v>
      </c>
    </row>
    <row r="42" spans="1:16" ht="15.75" customHeight="1">
      <c r="A42" s="1" t="s">
        <v>10</v>
      </c>
      <c r="B42" s="1" t="s">
        <v>471</v>
      </c>
      <c r="C42" s="1" t="s">
        <v>472</v>
      </c>
      <c r="D42" s="1" t="s">
        <v>473</v>
      </c>
      <c r="E42" s="1" t="s">
        <v>474</v>
      </c>
      <c r="F42" s="1" t="s">
        <v>475</v>
      </c>
      <c r="H42" s="1">
        <v>39</v>
      </c>
      <c r="I42" s="1">
        <v>2012</v>
      </c>
      <c r="J42" s="1">
        <v>38</v>
      </c>
      <c r="K42" s="1">
        <v>114</v>
      </c>
      <c r="O42" s="1" t="s">
        <v>476</v>
      </c>
    </row>
    <row r="43" spans="1:16" ht="15.75" customHeight="1">
      <c r="A43" s="1" t="s">
        <v>10</v>
      </c>
      <c r="B43" s="1" t="s">
        <v>4355</v>
      </c>
      <c r="C43" s="1" t="s">
        <v>4356</v>
      </c>
      <c r="D43" s="1" t="s">
        <v>4357</v>
      </c>
      <c r="E43" s="1" t="s">
        <v>4358</v>
      </c>
      <c r="F43" s="1" t="s">
        <v>4359</v>
      </c>
      <c r="H43" s="1">
        <v>38</v>
      </c>
      <c r="I43" s="1">
        <v>2012</v>
      </c>
      <c r="J43" s="1">
        <v>48</v>
      </c>
      <c r="O43" s="1" t="s">
        <v>4360</v>
      </c>
    </row>
    <row r="44" spans="1:16" ht="15.75" customHeight="1">
      <c r="A44" s="1" t="s">
        <v>10</v>
      </c>
      <c r="B44" s="1" t="s">
        <v>513</v>
      </c>
      <c r="C44" s="1" t="s">
        <v>514</v>
      </c>
      <c r="D44" s="1" t="s">
        <v>515</v>
      </c>
      <c r="E44" s="1" t="s">
        <v>516</v>
      </c>
      <c r="F44" s="1" t="s">
        <v>517</v>
      </c>
      <c r="H44" s="1">
        <v>34</v>
      </c>
      <c r="I44" s="1">
        <v>2012</v>
      </c>
      <c r="J44" s="1">
        <v>27</v>
      </c>
      <c r="K44" s="1">
        <v>1</v>
      </c>
      <c r="O44" s="1" t="s">
        <v>518</v>
      </c>
    </row>
    <row r="45" spans="1:16" ht="15.75" customHeight="1">
      <c r="A45" s="1" t="s">
        <v>0</v>
      </c>
      <c r="B45" s="1" t="s">
        <v>3761</v>
      </c>
      <c r="C45" s="1" t="s">
        <v>3762</v>
      </c>
      <c r="D45" s="1" t="s">
        <v>3763</v>
      </c>
      <c r="E45" s="1" t="s">
        <v>3764</v>
      </c>
      <c r="F45" s="1" t="s">
        <v>3765</v>
      </c>
      <c r="G45" s="1">
        <v>100</v>
      </c>
      <c r="H45" s="1">
        <v>33</v>
      </c>
      <c r="I45" s="1">
        <v>2012</v>
      </c>
      <c r="K45" s="1" t="s">
        <v>3618</v>
      </c>
      <c r="O45" s="1" t="s">
        <v>3766</v>
      </c>
    </row>
    <row r="46" spans="1:16" ht="15.75" customHeight="1">
      <c r="A46" s="1" t="s">
        <v>10</v>
      </c>
      <c r="B46" s="1" t="s">
        <v>1769</v>
      </c>
      <c r="C46" s="1" t="s">
        <v>1770</v>
      </c>
      <c r="D46" s="1" t="s">
        <v>142</v>
      </c>
      <c r="E46" s="1" t="s">
        <v>1771</v>
      </c>
      <c r="F46" s="1" t="s">
        <v>1772</v>
      </c>
      <c r="H46" s="1">
        <v>28</v>
      </c>
      <c r="I46" s="1">
        <v>2012</v>
      </c>
      <c r="J46" s="1">
        <v>47</v>
      </c>
      <c r="K46" s="1">
        <v>6</v>
      </c>
      <c r="O46" s="1" t="s">
        <v>1773</v>
      </c>
    </row>
    <row r="47" spans="1:16" ht="15.75" customHeight="1">
      <c r="A47" s="1" t="s">
        <v>10</v>
      </c>
      <c r="B47" s="1" t="s">
        <v>1515</v>
      </c>
      <c r="C47" s="1" t="s">
        <v>1516</v>
      </c>
      <c r="D47" s="1" t="s">
        <v>1517</v>
      </c>
      <c r="F47" s="1" t="s">
        <v>1518</v>
      </c>
      <c r="H47" s="1">
        <v>25</v>
      </c>
      <c r="I47" s="1">
        <v>2012</v>
      </c>
      <c r="J47" s="1">
        <v>50</v>
      </c>
      <c r="K47" s="1">
        <v>4</v>
      </c>
      <c r="O47" s="1" t="s">
        <v>1519</v>
      </c>
    </row>
    <row r="48" spans="1:16" ht="15.75" customHeight="1">
      <c r="A48" s="1" t="s">
        <v>10</v>
      </c>
      <c r="B48" s="1" t="s">
        <v>169</v>
      </c>
      <c r="C48" s="1" t="s">
        <v>170</v>
      </c>
      <c r="D48" s="1" t="s">
        <v>171</v>
      </c>
      <c r="E48" s="1" t="s">
        <v>172</v>
      </c>
      <c r="F48" s="1" t="s">
        <v>173</v>
      </c>
      <c r="H48" s="1">
        <v>24</v>
      </c>
      <c r="I48" s="1">
        <v>2012</v>
      </c>
      <c r="J48" s="1">
        <v>3</v>
      </c>
      <c r="K48" s="1">
        <v>2</v>
      </c>
      <c r="O48" s="1" t="s">
        <v>174</v>
      </c>
    </row>
    <row r="49" spans="1:16" ht="15.75" customHeight="1">
      <c r="A49" s="1" t="s">
        <v>10</v>
      </c>
      <c r="B49" s="1" t="s">
        <v>6573</v>
      </c>
      <c r="C49" s="1" t="s">
        <v>6574</v>
      </c>
      <c r="D49" s="1" t="s">
        <v>3639</v>
      </c>
      <c r="E49" s="1" t="s">
        <v>6575</v>
      </c>
      <c r="F49" s="1" t="s">
        <v>6576</v>
      </c>
      <c r="H49" s="1">
        <v>18</v>
      </c>
      <c r="I49" s="1">
        <v>2012</v>
      </c>
      <c r="J49" s="1">
        <v>18</v>
      </c>
      <c r="K49" s="1">
        <v>3</v>
      </c>
      <c r="O49" s="1" t="s">
        <v>6577</v>
      </c>
    </row>
    <row r="50" spans="1:16" ht="15.75" customHeight="1">
      <c r="A50" s="1" t="s">
        <v>0</v>
      </c>
      <c r="B50" s="1" t="s">
        <v>193</v>
      </c>
      <c r="C50" s="1" t="s">
        <v>194</v>
      </c>
      <c r="D50" s="1" t="s">
        <v>195</v>
      </c>
      <c r="E50" s="1" t="s">
        <v>196</v>
      </c>
      <c r="F50" s="1" t="s">
        <v>197</v>
      </c>
      <c r="G50" s="1">
        <v>44</v>
      </c>
      <c r="H50" s="1">
        <v>18</v>
      </c>
      <c r="I50" s="1">
        <v>2012</v>
      </c>
      <c r="J50" s="1">
        <v>44</v>
      </c>
      <c r="K50" s="1">
        <v>1</v>
      </c>
      <c r="L50" s="1">
        <v>163</v>
      </c>
      <c r="M50" s="1">
        <v>175</v>
      </c>
      <c r="N50" s="1" t="s">
        <v>6</v>
      </c>
      <c r="O50" s="1" t="s">
        <v>198</v>
      </c>
      <c r="P50" s="3" t="str">
        <f>HYPERLINK("http://dx.doi.org/10.4067/S0717-73562012000100012","http://dx.doi.org/10.4067/S0717-73562012000100012")</f>
        <v>http://dx.doi.org/10.4067/S0717-73562012000100012</v>
      </c>
    </row>
    <row r="51" spans="1:16" ht="15.75" customHeight="1">
      <c r="A51" s="1" t="s">
        <v>0</v>
      </c>
      <c r="B51" s="1" t="s">
        <v>1912</v>
      </c>
      <c r="C51" s="1" t="s">
        <v>1913</v>
      </c>
      <c r="D51" s="1" t="s">
        <v>1371</v>
      </c>
      <c r="E51" s="1" t="s">
        <v>1914</v>
      </c>
      <c r="F51" s="1" t="s">
        <v>1915</v>
      </c>
      <c r="G51" s="1">
        <v>19</v>
      </c>
      <c r="H51" s="1">
        <v>15</v>
      </c>
      <c r="I51" s="1">
        <v>2012</v>
      </c>
      <c r="J51" s="1">
        <v>38</v>
      </c>
      <c r="K51" s="1" t="s">
        <v>61</v>
      </c>
    </row>
    <row r="52" spans="1:16" ht="15.75" customHeight="1">
      <c r="A52" s="1" t="s">
        <v>0</v>
      </c>
      <c r="B52" s="1" t="s">
        <v>3944</v>
      </c>
      <c r="C52" s="1" t="s">
        <v>3945</v>
      </c>
      <c r="D52" s="1" t="s">
        <v>2022</v>
      </c>
      <c r="E52" s="1" t="s">
        <v>3946</v>
      </c>
      <c r="F52" s="1" t="s">
        <v>3947</v>
      </c>
      <c r="G52" s="1">
        <v>68</v>
      </c>
      <c r="H52" s="1">
        <v>15</v>
      </c>
      <c r="I52" s="1">
        <v>2012</v>
      </c>
      <c r="J52" s="1" t="s">
        <v>6</v>
      </c>
      <c r="K52" s="1">
        <v>53</v>
      </c>
      <c r="L52" s="1">
        <v>137</v>
      </c>
      <c r="M52" s="1">
        <v>158</v>
      </c>
      <c r="N52" s="1" t="s">
        <v>6</v>
      </c>
      <c r="O52" s="1" t="s">
        <v>3948</v>
      </c>
      <c r="P52" s="3" t="str">
        <f>HYPERLINK("http://dx.doi.org/10.4067/S0718-34022012000300009","http://dx.doi.org/10.4067/S0718-34022012000300009")</f>
        <v>http://dx.doi.org/10.4067/S0718-34022012000300009</v>
      </c>
    </row>
    <row r="53" spans="1:16" ht="15.75" customHeight="1">
      <c r="A53" s="1" t="s">
        <v>0</v>
      </c>
      <c r="B53" s="1" t="s">
        <v>7081</v>
      </c>
      <c r="C53" s="1" t="s">
        <v>7082</v>
      </c>
      <c r="D53" s="1" t="s">
        <v>7083</v>
      </c>
      <c r="E53" s="1" t="s">
        <v>3946</v>
      </c>
      <c r="F53" s="1" t="s">
        <v>3947</v>
      </c>
      <c r="G53" s="1">
        <v>67</v>
      </c>
      <c r="H53" s="1">
        <v>15</v>
      </c>
      <c r="I53" s="1">
        <v>2012</v>
      </c>
      <c r="K53" s="1" t="s">
        <v>7084</v>
      </c>
    </row>
    <row r="54" spans="1:16" ht="15.75" customHeight="1">
      <c r="A54" s="1" t="s">
        <v>0</v>
      </c>
      <c r="B54" s="1" t="s">
        <v>385</v>
      </c>
      <c r="C54" s="1" t="s">
        <v>386</v>
      </c>
      <c r="D54" s="1" t="s">
        <v>387</v>
      </c>
      <c r="E54" s="1" t="s">
        <v>388</v>
      </c>
      <c r="F54" s="1" t="s">
        <v>389</v>
      </c>
      <c r="G54" s="1">
        <v>14</v>
      </c>
      <c r="H54" s="1">
        <v>13</v>
      </c>
      <c r="I54" s="1">
        <v>2012</v>
      </c>
      <c r="J54" s="1">
        <v>20</v>
      </c>
      <c r="K54" s="1" t="s">
        <v>390</v>
      </c>
    </row>
    <row r="55" spans="1:16" ht="15.75" customHeight="1">
      <c r="A55" s="1" t="s">
        <v>0</v>
      </c>
      <c r="B55" s="1" t="s">
        <v>2851</v>
      </c>
      <c r="C55" s="1" t="s">
        <v>2852</v>
      </c>
      <c r="D55" s="1" t="s">
        <v>58</v>
      </c>
      <c r="E55" s="1" t="s">
        <v>2853</v>
      </c>
      <c r="F55" s="1" t="s">
        <v>2854</v>
      </c>
      <c r="G55" s="1">
        <v>44</v>
      </c>
      <c r="H55" s="1">
        <v>12</v>
      </c>
      <c r="I55" s="1">
        <v>2012</v>
      </c>
      <c r="J55" s="1">
        <v>12</v>
      </c>
      <c r="K55" s="1" t="s">
        <v>378</v>
      </c>
    </row>
    <row r="56" spans="1:16" ht="15.75" customHeight="1">
      <c r="A56" s="1" t="s">
        <v>10</v>
      </c>
      <c r="B56" s="1" t="s">
        <v>4383</v>
      </c>
      <c r="C56" s="1" t="s">
        <v>4384</v>
      </c>
      <c r="D56" s="1" t="s">
        <v>1445</v>
      </c>
      <c r="E56" s="1" t="s">
        <v>4385</v>
      </c>
      <c r="F56" s="1" t="s">
        <v>4386</v>
      </c>
      <c r="H56" s="1">
        <v>11</v>
      </c>
      <c r="I56" s="1">
        <v>2012</v>
      </c>
      <c r="J56" s="1">
        <v>33</v>
      </c>
      <c r="K56" s="1">
        <v>5</v>
      </c>
      <c r="O56" s="1" t="s">
        <v>4387</v>
      </c>
    </row>
    <row r="57" spans="1:16" ht="15.75" customHeight="1">
      <c r="A57" s="1" t="s">
        <v>10</v>
      </c>
      <c r="B57" s="1" t="s">
        <v>4820</v>
      </c>
      <c r="C57" s="1" t="s">
        <v>4821</v>
      </c>
      <c r="D57" s="1" t="s">
        <v>946</v>
      </c>
      <c r="E57" s="1" t="s">
        <v>4822</v>
      </c>
      <c r="F57" s="1" t="s">
        <v>4823</v>
      </c>
      <c r="H57" s="1">
        <v>8</v>
      </c>
      <c r="I57" s="1">
        <v>2012</v>
      </c>
      <c r="J57" s="1">
        <v>17</v>
      </c>
      <c r="K57" s="1">
        <v>3</v>
      </c>
      <c r="O57" s="1" t="s">
        <v>4824</v>
      </c>
    </row>
    <row r="58" spans="1:16" ht="15.75" customHeight="1">
      <c r="A58" s="1" t="s">
        <v>10</v>
      </c>
      <c r="B58" s="1" t="s">
        <v>2966</v>
      </c>
      <c r="C58" s="1" t="s">
        <v>2967</v>
      </c>
      <c r="D58" s="1" t="s">
        <v>1500</v>
      </c>
      <c r="E58" s="1" t="s">
        <v>2968</v>
      </c>
      <c r="F58" s="1" t="s">
        <v>2969</v>
      </c>
      <c r="H58" s="1">
        <v>8</v>
      </c>
      <c r="I58" s="1">
        <v>2012</v>
      </c>
      <c r="K58" s="1">
        <v>51</v>
      </c>
    </row>
    <row r="59" spans="1:16" ht="15.75" customHeight="1">
      <c r="A59" s="1" t="s">
        <v>0</v>
      </c>
      <c r="B59" s="1" t="s">
        <v>4814</v>
      </c>
      <c r="C59" s="1" t="s">
        <v>4815</v>
      </c>
      <c r="D59" s="1" t="s">
        <v>4816</v>
      </c>
      <c r="E59" s="1" t="s">
        <v>4817</v>
      </c>
      <c r="F59" s="1" t="s">
        <v>4818</v>
      </c>
      <c r="G59" s="1">
        <v>54</v>
      </c>
      <c r="H59" s="1">
        <v>7</v>
      </c>
      <c r="I59" s="1">
        <v>2012</v>
      </c>
      <c r="J59" s="1">
        <v>32</v>
      </c>
      <c r="K59" s="1">
        <v>1</v>
      </c>
      <c r="L59" s="1">
        <v>158</v>
      </c>
      <c r="M59" s="1">
        <v>165</v>
      </c>
      <c r="N59" s="1" t="s">
        <v>6</v>
      </c>
      <c r="O59" s="1" t="s">
        <v>4819</v>
      </c>
      <c r="P59" s="3" t="str">
        <f>HYPERLINK("http://dx.doi.org/10.1016/j.irle.2011.12.001","http://dx.doi.org/10.1016/j.irle.2011.12.001")</f>
        <v>http://dx.doi.org/10.1016/j.irle.2011.12.001</v>
      </c>
    </row>
    <row r="60" spans="1:16" ht="15.75" customHeight="1">
      <c r="A60" s="1" t="s">
        <v>10</v>
      </c>
      <c r="B60" s="1" t="s">
        <v>828</v>
      </c>
      <c r="C60" s="1" t="s">
        <v>829</v>
      </c>
      <c r="D60" s="1" t="s">
        <v>830</v>
      </c>
      <c r="E60" s="1" t="s">
        <v>831</v>
      </c>
      <c r="F60" s="1" t="s">
        <v>832</v>
      </c>
      <c r="H60" s="1">
        <v>5</v>
      </c>
      <c r="I60" s="1">
        <v>2012</v>
      </c>
      <c r="J60" s="1">
        <v>28</v>
      </c>
      <c r="K60" s="1">
        <v>2</v>
      </c>
      <c r="O60" s="1" t="s">
        <v>833</v>
      </c>
    </row>
    <row r="61" spans="1:16" ht="15.75" customHeight="1">
      <c r="A61" s="1" t="s">
        <v>0</v>
      </c>
      <c r="B61" s="1" t="s">
        <v>764</v>
      </c>
      <c r="C61" s="1" t="s">
        <v>765</v>
      </c>
      <c r="D61" s="1" t="s">
        <v>58</v>
      </c>
      <c r="E61" s="1" t="s">
        <v>766</v>
      </c>
      <c r="F61" s="1" t="s">
        <v>767</v>
      </c>
      <c r="G61" s="1">
        <v>18</v>
      </c>
      <c r="H61" s="1">
        <v>5</v>
      </c>
      <c r="I61" s="1">
        <v>2012</v>
      </c>
      <c r="J61" s="1">
        <v>12</v>
      </c>
      <c r="K61" s="1" t="s">
        <v>378</v>
      </c>
    </row>
    <row r="62" spans="1:16" ht="15.75" customHeight="1">
      <c r="A62" s="1" t="s">
        <v>10</v>
      </c>
      <c r="B62" s="1" t="s">
        <v>4178</v>
      </c>
      <c r="C62" s="1" t="s">
        <v>4179</v>
      </c>
      <c r="D62" s="1" t="s">
        <v>4180</v>
      </c>
      <c r="E62" s="1" t="s">
        <v>4181</v>
      </c>
      <c r="F62" s="1" t="s">
        <v>4182</v>
      </c>
      <c r="H62" s="1">
        <v>4</v>
      </c>
      <c r="I62" s="1">
        <v>2012</v>
      </c>
      <c r="J62" s="1">
        <v>39</v>
      </c>
      <c r="K62" s="1">
        <v>4</v>
      </c>
      <c r="O62" s="1" t="s">
        <v>4183</v>
      </c>
    </row>
    <row r="63" spans="1:16" ht="15.75" customHeight="1">
      <c r="A63" s="1" t="s">
        <v>0</v>
      </c>
      <c r="B63" s="1" t="s">
        <v>6350</v>
      </c>
      <c r="C63" s="1" t="s">
        <v>6358</v>
      </c>
      <c r="D63" s="1" t="s">
        <v>2022</v>
      </c>
      <c r="E63" s="1" t="s">
        <v>6359</v>
      </c>
      <c r="F63" s="1" t="s">
        <v>6360</v>
      </c>
      <c r="G63" s="1">
        <v>74</v>
      </c>
      <c r="H63" s="1">
        <v>3</v>
      </c>
      <c r="I63" s="1">
        <v>2012</v>
      </c>
      <c r="J63" s="1" t="s">
        <v>6</v>
      </c>
      <c r="K63" s="1">
        <v>53</v>
      </c>
      <c r="L63" s="1">
        <v>177</v>
      </c>
      <c r="M63" s="1">
        <v>198</v>
      </c>
      <c r="N63" s="1" t="s">
        <v>6</v>
      </c>
      <c r="O63" s="1" t="s">
        <v>6</v>
      </c>
      <c r="P63" s="1" t="s">
        <v>6</v>
      </c>
    </row>
    <row r="64" spans="1:16" ht="15.75" customHeight="1">
      <c r="A64" s="1" t="s">
        <v>463</v>
      </c>
      <c r="B64" s="1" t="s">
        <v>6523</v>
      </c>
      <c r="C64" s="1" t="s">
        <v>6524</v>
      </c>
      <c r="D64" s="1" t="s">
        <v>6525</v>
      </c>
      <c r="E64" s="1" t="s">
        <v>6526</v>
      </c>
      <c r="F64" s="1" t="s">
        <v>6527</v>
      </c>
      <c r="H64" s="1">
        <v>1</v>
      </c>
      <c r="I64" s="1">
        <v>2012</v>
      </c>
    </row>
    <row r="65" spans="1:16" ht="15.75" customHeight="1">
      <c r="A65" s="1" t="s">
        <v>10</v>
      </c>
      <c r="B65" s="1" t="s">
        <v>6344</v>
      </c>
      <c r="C65" s="1" t="s">
        <v>6345</v>
      </c>
      <c r="D65" s="1" t="s">
        <v>6346</v>
      </c>
      <c r="E65" s="1" t="s">
        <v>6347</v>
      </c>
      <c r="F65" s="1" t="s">
        <v>6348</v>
      </c>
      <c r="H65" s="1">
        <v>1</v>
      </c>
      <c r="I65" s="1">
        <v>2012</v>
      </c>
      <c r="K65" s="1">
        <v>26</v>
      </c>
      <c r="O65" s="1" t="s">
        <v>6349</v>
      </c>
    </row>
    <row r="66" spans="1:16" ht="15.75" customHeight="1">
      <c r="A66" s="1" t="s">
        <v>0</v>
      </c>
      <c r="B66" s="1" t="s">
        <v>1386</v>
      </c>
      <c r="C66" s="1" t="s">
        <v>1387</v>
      </c>
      <c r="D66" s="1" t="s">
        <v>974</v>
      </c>
      <c r="E66" s="1" t="s">
        <v>1388</v>
      </c>
      <c r="F66" s="1" t="s">
        <v>1389</v>
      </c>
      <c r="G66" s="1">
        <v>29</v>
      </c>
      <c r="H66" s="1">
        <v>1</v>
      </c>
      <c r="I66" s="1">
        <v>2012</v>
      </c>
      <c r="J66" s="1">
        <v>9</v>
      </c>
      <c r="K66" s="1">
        <v>17</v>
      </c>
      <c r="L66" s="1">
        <v>51</v>
      </c>
      <c r="M66" s="1">
        <v>70</v>
      </c>
      <c r="N66" s="1" t="s">
        <v>6</v>
      </c>
      <c r="O66" s="1" t="s">
        <v>6</v>
      </c>
      <c r="P66" s="1" t="s">
        <v>6</v>
      </c>
    </row>
    <row r="67" spans="1:16" ht="15.75" customHeight="1">
      <c r="A67" s="1" t="s">
        <v>0</v>
      </c>
      <c r="B67" s="1" t="s">
        <v>3568</v>
      </c>
      <c r="C67" s="1" t="s">
        <v>3572</v>
      </c>
      <c r="D67" s="1" t="s">
        <v>58</v>
      </c>
      <c r="E67" s="1" t="s">
        <v>3573</v>
      </c>
      <c r="F67" s="1" t="s">
        <v>3574</v>
      </c>
      <c r="G67" s="1">
        <v>48</v>
      </c>
      <c r="H67" s="1">
        <v>0</v>
      </c>
      <c r="I67" s="1">
        <v>2012</v>
      </c>
      <c r="J67" s="1">
        <v>12</v>
      </c>
      <c r="K67" s="1" t="s">
        <v>378</v>
      </c>
    </row>
    <row r="68" spans="1:16" ht="15.75" customHeight="1">
      <c r="A68" s="1" t="s">
        <v>10</v>
      </c>
      <c r="B68" s="1" t="s">
        <v>3685</v>
      </c>
      <c r="C68" s="1" t="s">
        <v>3686</v>
      </c>
      <c r="D68" s="1" t="s">
        <v>650</v>
      </c>
      <c r="E68" s="1" t="s">
        <v>3687</v>
      </c>
      <c r="F68" s="1" t="s">
        <v>3688</v>
      </c>
      <c r="H68" s="1">
        <v>0</v>
      </c>
      <c r="I68" s="1">
        <v>2012</v>
      </c>
      <c r="J68" s="1">
        <v>22</v>
      </c>
    </row>
    <row r="69" spans="1:16" ht="15.75" customHeight="1">
      <c r="A69" s="1" t="s">
        <v>0</v>
      </c>
      <c r="B69" s="1" t="s">
        <v>5587</v>
      </c>
      <c r="C69" s="1" t="s">
        <v>5588</v>
      </c>
      <c r="D69" s="1" t="s">
        <v>2022</v>
      </c>
      <c r="E69" s="1" t="s">
        <v>5589</v>
      </c>
      <c r="F69" s="1" t="s">
        <v>5590</v>
      </c>
      <c r="G69" s="1">
        <v>24</v>
      </c>
      <c r="H69" s="1">
        <v>0</v>
      </c>
      <c r="I69" s="1">
        <v>2012</v>
      </c>
      <c r="J69" s="1" t="s">
        <v>6</v>
      </c>
      <c r="K69" s="1">
        <v>51</v>
      </c>
      <c r="L69" s="1">
        <v>95</v>
      </c>
      <c r="M69" s="1">
        <v>113</v>
      </c>
      <c r="N69" s="1" t="s">
        <v>6</v>
      </c>
      <c r="O69" s="1" t="s">
        <v>6</v>
      </c>
      <c r="P69" s="1" t="s">
        <v>6</v>
      </c>
    </row>
    <row r="70" spans="1:16" ht="15.75" customHeight="1">
      <c r="A70" s="1" t="s">
        <v>10</v>
      </c>
      <c r="B70" s="1" t="s">
        <v>5761</v>
      </c>
      <c r="C70" s="1" t="s">
        <v>5762</v>
      </c>
      <c r="D70" s="1" t="s">
        <v>5763</v>
      </c>
      <c r="E70" s="1" t="s">
        <v>5764</v>
      </c>
      <c r="F70" s="1" t="s">
        <v>5765</v>
      </c>
      <c r="H70" s="1">
        <v>82</v>
      </c>
      <c r="I70" s="1">
        <v>2013</v>
      </c>
      <c r="J70" s="1">
        <v>78</v>
      </c>
      <c r="K70" s="1">
        <v>4</v>
      </c>
      <c r="O70" s="1" t="s">
        <v>5766</v>
      </c>
    </row>
    <row r="71" spans="1:16" ht="15.75" customHeight="1">
      <c r="A71" s="1" t="s">
        <v>10</v>
      </c>
      <c r="B71" s="1" t="s">
        <v>6955</v>
      </c>
      <c r="C71" s="1" t="s">
        <v>6956</v>
      </c>
      <c r="D71" s="1" t="s">
        <v>6957</v>
      </c>
      <c r="E71" s="1" t="s">
        <v>6958</v>
      </c>
      <c r="F71" s="1" t="s">
        <v>6959</v>
      </c>
      <c r="H71" s="1">
        <v>71</v>
      </c>
      <c r="I71" s="1">
        <v>2013</v>
      </c>
      <c r="J71" s="1">
        <v>14</v>
      </c>
      <c r="K71" s="1">
        <v>3</v>
      </c>
      <c r="O71" s="1" t="s">
        <v>6960</v>
      </c>
    </row>
    <row r="72" spans="1:16" ht="15.75" customHeight="1">
      <c r="A72" s="1" t="s">
        <v>0</v>
      </c>
      <c r="B72" s="1" t="s">
        <v>6316</v>
      </c>
      <c r="C72" s="1" t="s">
        <v>6317</v>
      </c>
      <c r="D72" s="1" t="s">
        <v>6318</v>
      </c>
      <c r="E72" s="1" t="s">
        <v>6319</v>
      </c>
      <c r="F72" s="1" t="s">
        <v>6320</v>
      </c>
      <c r="G72" s="1">
        <v>78</v>
      </c>
      <c r="H72" s="1">
        <v>66</v>
      </c>
      <c r="I72" s="1">
        <v>2013</v>
      </c>
      <c r="J72" s="1">
        <v>34</v>
      </c>
      <c r="K72" s="1">
        <v>7</v>
      </c>
      <c r="L72" s="1">
        <v>972</v>
      </c>
      <c r="M72" s="1">
        <v>988</v>
      </c>
      <c r="N72" s="1" t="s">
        <v>6</v>
      </c>
      <c r="O72" s="1" t="s">
        <v>6321</v>
      </c>
      <c r="P72" s="3" t="str">
        <f>HYPERLINK("http://dx.doi.org/10.1080/02723638.2013.799369","http://dx.doi.org/10.1080/02723638.2013.799369")</f>
        <v>http://dx.doi.org/10.1080/02723638.2013.799369</v>
      </c>
    </row>
    <row r="73" spans="1:16" ht="15.75" customHeight="1">
      <c r="A73" s="1" t="s">
        <v>0</v>
      </c>
      <c r="B73" s="1" t="s">
        <v>3797</v>
      </c>
      <c r="C73" s="1" t="s">
        <v>3798</v>
      </c>
      <c r="D73" s="1" t="s">
        <v>1009</v>
      </c>
      <c r="E73" s="1" t="s">
        <v>3799</v>
      </c>
      <c r="F73" s="1" t="s">
        <v>3800</v>
      </c>
      <c r="G73" s="1">
        <v>88</v>
      </c>
      <c r="H73" s="1">
        <v>44</v>
      </c>
      <c r="I73" s="1">
        <v>2013</v>
      </c>
      <c r="J73" s="1">
        <v>19</v>
      </c>
      <c r="K73" s="1">
        <v>78</v>
      </c>
      <c r="L73" s="1">
        <v>65</v>
      </c>
      <c r="M73" s="1">
        <v>110</v>
      </c>
      <c r="N73" s="1" t="s">
        <v>6</v>
      </c>
      <c r="O73" s="1" t="s">
        <v>6</v>
      </c>
      <c r="P73" s="1" t="s">
        <v>6</v>
      </c>
    </row>
    <row r="74" spans="1:16" ht="15.75" customHeight="1">
      <c r="A74" s="1" t="s">
        <v>0</v>
      </c>
      <c r="B74" s="1" t="s">
        <v>6369</v>
      </c>
      <c r="C74" s="1" t="s">
        <v>6370</v>
      </c>
      <c r="D74" s="1" t="s">
        <v>52</v>
      </c>
      <c r="E74" s="1" t="s">
        <v>6371</v>
      </c>
      <c r="F74" s="1" t="s">
        <v>6372</v>
      </c>
      <c r="G74" s="1">
        <v>63</v>
      </c>
      <c r="H74" s="1">
        <v>43</v>
      </c>
      <c r="I74" s="1">
        <v>2013</v>
      </c>
      <c r="J74" s="1">
        <v>12</v>
      </c>
      <c r="K74" s="1" t="s">
        <v>55</v>
      </c>
      <c r="O74" s="1" t="s">
        <v>6373</v>
      </c>
    </row>
    <row r="75" spans="1:16" ht="15.75" customHeight="1">
      <c r="A75" s="1" t="s">
        <v>0</v>
      </c>
      <c r="B75" s="1" t="s">
        <v>6184</v>
      </c>
      <c r="C75" s="1" t="s">
        <v>6185</v>
      </c>
      <c r="D75" s="1" t="s">
        <v>1103</v>
      </c>
      <c r="E75" s="1" t="s">
        <v>6186</v>
      </c>
      <c r="F75" s="2" t="s">
        <v>6187</v>
      </c>
      <c r="G75" s="1">
        <v>65</v>
      </c>
      <c r="H75" s="1">
        <v>41</v>
      </c>
      <c r="I75" s="1">
        <v>2013</v>
      </c>
      <c r="J75" s="1">
        <v>40</v>
      </c>
      <c r="K75" s="1">
        <v>2</v>
      </c>
      <c r="L75" s="1">
        <v>237</v>
      </c>
      <c r="M75" s="1">
        <v>249</v>
      </c>
      <c r="N75" s="1" t="s">
        <v>6</v>
      </c>
      <c r="O75" s="1" t="s">
        <v>6188</v>
      </c>
      <c r="P75" s="3" t="str">
        <f>HYPERLINK("http://dx.doi.org/10.1177/0094582X12468866","http://dx.doi.org/10.1177/0094582X12468866")</f>
        <v>http://dx.doi.org/10.1177/0094582X12468866</v>
      </c>
    </row>
    <row r="76" spans="1:16" ht="15.75" customHeight="1">
      <c r="A76" s="1" t="s">
        <v>0</v>
      </c>
      <c r="B76" s="1" t="s">
        <v>1965</v>
      </c>
      <c r="C76" s="1" t="s">
        <v>1966</v>
      </c>
      <c r="D76" s="1" t="s">
        <v>1967</v>
      </c>
      <c r="E76" s="1" t="s">
        <v>1968</v>
      </c>
      <c r="F76" s="1" t="s">
        <v>1969</v>
      </c>
      <c r="G76" s="1">
        <v>35</v>
      </c>
      <c r="H76" s="1">
        <v>26</v>
      </c>
      <c r="I76" s="1">
        <v>2013</v>
      </c>
      <c r="J76" s="1">
        <v>21</v>
      </c>
      <c r="K76" s="1">
        <v>42</v>
      </c>
      <c r="L76" s="1">
        <v>163</v>
      </c>
      <c r="M76" s="1">
        <v>191</v>
      </c>
      <c r="N76" s="1" t="s">
        <v>6</v>
      </c>
      <c r="O76" s="1" t="s">
        <v>1970</v>
      </c>
      <c r="P76" s="3" t="str">
        <f>HYPERLINK("http://dx.doi.org/10.18504/pl2142-163-2013","http://dx.doi.org/10.18504/pl2142-163-2013")</f>
        <v>http://dx.doi.org/10.18504/pl2142-163-2013</v>
      </c>
    </row>
    <row r="77" spans="1:16" ht="15.75" customHeight="1">
      <c r="A77" s="1" t="s">
        <v>10</v>
      </c>
      <c r="B77" s="1" t="s">
        <v>4904</v>
      </c>
      <c r="C77" s="1" t="s">
        <v>4905</v>
      </c>
      <c r="D77" s="1" t="s">
        <v>4906</v>
      </c>
      <c r="E77" s="1" t="s">
        <v>4907</v>
      </c>
      <c r="F77" s="1" t="s">
        <v>4908</v>
      </c>
      <c r="H77" s="1">
        <v>25</v>
      </c>
      <c r="I77" s="1">
        <v>2013</v>
      </c>
      <c r="J77" s="1">
        <v>8</v>
      </c>
      <c r="K77" s="1">
        <v>2</v>
      </c>
      <c r="O77" s="1" t="s">
        <v>4909</v>
      </c>
    </row>
    <row r="78" spans="1:16" ht="15.75" customHeight="1">
      <c r="A78" s="1" t="s">
        <v>0</v>
      </c>
      <c r="B78" s="1" t="s">
        <v>4408</v>
      </c>
      <c r="C78" s="1" t="s">
        <v>4409</v>
      </c>
      <c r="D78" s="1" t="s">
        <v>4410</v>
      </c>
      <c r="E78" s="1" t="s">
        <v>4411</v>
      </c>
      <c r="F78" s="1" t="s">
        <v>4412</v>
      </c>
      <c r="G78" s="1">
        <v>37</v>
      </c>
      <c r="H78" s="1">
        <v>25</v>
      </c>
      <c r="I78" s="1">
        <v>2013</v>
      </c>
      <c r="J78" s="1">
        <v>32</v>
      </c>
      <c r="K78" s="1">
        <v>3</v>
      </c>
      <c r="L78" s="1">
        <v>294</v>
      </c>
      <c r="M78" s="1">
        <v>310</v>
      </c>
      <c r="N78" s="1" t="s">
        <v>6</v>
      </c>
      <c r="O78" s="1" t="s">
        <v>4413</v>
      </c>
      <c r="P78" s="3" t="str">
        <f>HYPERLINK("http://dx.doi.org/10.1111/blar.12002","http://dx.doi.org/10.1111/blar.12002")</f>
        <v>http://dx.doi.org/10.1111/blar.12002</v>
      </c>
    </row>
    <row r="79" spans="1:16" ht="15.75" customHeight="1">
      <c r="A79" s="1" t="s">
        <v>10</v>
      </c>
      <c r="B79" s="1" t="s">
        <v>5812</v>
      </c>
      <c r="C79" s="1" t="s">
        <v>5813</v>
      </c>
      <c r="D79" s="1" t="s">
        <v>5814</v>
      </c>
      <c r="E79" s="1" t="s">
        <v>5815</v>
      </c>
      <c r="F79" s="1" t="s">
        <v>5816</v>
      </c>
      <c r="H79" s="1">
        <v>24</v>
      </c>
      <c r="I79" s="1">
        <v>2013</v>
      </c>
      <c r="J79" s="1">
        <v>24</v>
      </c>
      <c r="K79" s="1">
        <v>2</v>
      </c>
      <c r="O79" s="1" t="s">
        <v>5817</v>
      </c>
    </row>
    <row r="80" spans="1:16" ht="15.75" customHeight="1">
      <c r="A80" s="1" t="s">
        <v>0</v>
      </c>
      <c r="B80" s="1" t="s">
        <v>50</v>
      </c>
      <c r="C80" s="2" t="s">
        <v>51</v>
      </c>
      <c r="D80" s="1" t="s">
        <v>52</v>
      </c>
      <c r="E80" s="1" t="s">
        <v>53</v>
      </c>
      <c r="F80" s="1" t="s">
        <v>54</v>
      </c>
      <c r="G80" s="1">
        <v>37</v>
      </c>
      <c r="H80" s="1">
        <v>22</v>
      </c>
      <c r="I80" s="1">
        <v>2013</v>
      </c>
      <c r="J80" s="1">
        <v>12</v>
      </c>
      <c r="K80" s="1" t="s">
        <v>55</v>
      </c>
    </row>
    <row r="81" spans="1:16" ht="15.75" customHeight="1">
      <c r="A81" s="1" t="s">
        <v>0</v>
      </c>
      <c r="B81" s="1" t="s">
        <v>1649</v>
      </c>
      <c r="C81" s="1" t="s">
        <v>1650</v>
      </c>
      <c r="D81" s="1" t="s">
        <v>1651</v>
      </c>
      <c r="E81" s="8" t="s">
        <v>7109</v>
      </c>
      <c r="F81" s="1" t="s">
        <v>1652</v>
      </c>
      <c r="G81" s="1">
        <v>106</v>
      </c>
      <c r="H81" s="1">
        <v>21</v>
      </c>
      <c r="I81" s="1">
        <v>2013</v>
      </c>
      <c r="J81" s="1">
        <v>55</v>
      </c>
      <c r="K81" s="1">
        <v>4</v>
      </c>
      <c r="L81" s="1">
        <v>771</v>
      </c>
      <c r="M81" s="1">
        <v>799</v>
      </c>
      <c r="N81" s="1" t="s">
        <v>6</v>
      </c>
      <c r="O81" s="1" t="s">
        <v>1653</v>
      </c>
      <c r="P81" s="3" t="str">
        <f>HYPERLINK("http://dx.doi.org/10.1017/S0010417513000418","http://dx.doi.org/10.1017/S0010417513000418")</f>
        <v>http://dx.doi.org/10.1017/S0010417513000418</v>
      </c>
    </row>
    <row r="82" spans="1:16" s="11" customFormat="1" ht="15.75" customHeight="1">
      <c r="A82" s="10" t="s">
        <v>7126</v>
      </c>
      <c r="B82" s="10" t="s">
        <v>6488</v>
      </c>
      <c r="C82" s="10" t="s">
        <v>6489</v>
      </c>
      <c r="D82" s="10" t="s">
        <v>52</v>
      </c>
      <c r="E82" s="10" t="s">
        <v>6490</v>
      </c>
      <c r="F82" s="10" t="s">
        <v>6491</v>
      </c>
      <c r="G82" s="10">
        <v>19</v>
      </c>
      <c r="H82" s="10">
        <v>21</v>
      </c>
      <c r="I82" s="10">
        <v>2013</v>
      </c>
      <c r="J82" s="10">
        <v>12</v>
      </c>
      <c r="K82" s="10" t="s">
        <v>55</v>
      </c>
    </row>
    <row r="83" spans="1:16" ht="15.75" customHeight="1">
      <c r="A83" s="1" t="s">
        <v>10</v>
      </c>
      <c r="B83" s="1" t="s">
        <v>6079</v>
      </c>
      <c r="C83" s="1" t="s">
        <v>6080</v>
      </c>
      <c r="D83" s="1" t="s">
        <v>6081</v>
      </c>
      <c r="E83" s="1" t="s">
        <v>6082</v>
      </c>
      <c r="F83" s="1" t="s">
        <v>6083</v>
      </c>
      <c r="H83" s="1">
        <v>19</v>
      </c>
      <c r="I83" s="1">
        <v>2013</v>
      </c>
      <c r="J83" s="1">
        <v>37</v>
      </c>
      <c r="K83" s="1">
        <v>6</v>
      </c>
      <c r="O83" s="1" t="s">
        <v>6084</v>
      </c>
    </row>
    <row r="84" spans="1:16" ht="15.75" customHeight="1">
      <c r="A84" s="1" t="s">
        <v>0</v>
      </c>
      <c r="B84" s="1" t="s">
        <v>3993</v>
      </c>
      <c r="C84" s="1" t="s">
        <v>3994</v>
      </c>
      <c r="D84" s="1" t="s">
        <v>195</v>
      </c>
      <c r="E84" s="1" t="s">
        <v>3995</v>
      </c>
      <c r="F84" s="1" t="s">
        <v>3996</v>
      </c>
      <c r="G84" s="1">
        <v>22</v>
      </c>
      <c r="H84" s="1">
        <v>16</v>
      </c>
      <c r="I84" s="1">
        <v>2013</v>
      </c>
      <c r="J84" s="1">
        <v>45</v>
      </c>
      <c r="K84" s="1">
        <v>2</v>
      </c>
      <c r="L84" s="1">
        <v>321</v>
      </c>
      <c r="M84" s="1">
        <v>332</v>
      </c>
      <c r="N84" s="1" t="s">
        <v>6</v>
      </c>
      <c r="O84" s="1" t="s">
        <v>3997</v>
      </c>
      <c r="P84" s="3" t="str">
        <f>HYPERLINK("http://dx.doi.org/10.4067/S0717-73562013000200008","http://dx.doi.org/10.4067/S0717-73562013000200008")</f>
        <v>http://dx.doi.org/10.4067/S0717-73562013000200008</v>
      </c>
    </row>
    <row r="85" spans="1:16" ht="15.75" customHeight="1">
      <c r="A85" s="1" t="s">
        <v>10</v>
      </c>
      <c r="B85" s="1" t="s">
        <v>3955</v>
      </c>
      <c r="C85" s="1" t="s">
        <v>3956</v>
      </c>
      <c r="D85" s="1" t="s">
        <v>3957</v>
      </c>
      <c r="E85" s="1" t="s">
        <v>3958</v>
      </c>
      <c r="F85" s="1" t="s">
        <v>3959</v>
      </c>
      <c r="H85" s="1">
        <v>15</v>
      </c>
      <c r="I85" s="1">
        <v>2013</v>
      </c>
      <c r="J85" s="1">
        <v>34</v>
      </c>
      <c r="K85" s="1">
        <v>1</v>
      </c>
      <c r="O85" s="1" t="s">
        <v>3960</v>
      </c>
    </row>
    <row r="86" spans="1:16" ht="15.75" customHeight="1">
      <c r="A86" s="1" t="s">
        <v>0</v>
      </c>
      <c r="B86" s="1" t="s">
        <v>801</v>
      </c>
      <c r="C86" s="1" t="s">
        <v>812</v>
      </c>
      <c r="D86" s="1" t="s">
        <v>52</v>
      </c>
      <c r="E86" s="1" t="s">
        <v>813</v>
      </c>
      <c r="F86" s="1" t="s">
        <v>814</v>
      </c>
      <c r="G86" s="1">
        <v>41</v>
      </c>
      <c r="H86" s="1">
        <v>15</v>
      </c>
      <c r="I86" s="1">
        <v>2013</v>
      </c>
      <c r="J86" s="1">
        <v>12</v>
      </c>
      <c r="K86" s="1" t="s">
        <v>55</v>
      </c>
    </row>
    <row r="87" spans="1:16" ht="15.75" customHeight="1">
      <c r="A87" s="1" t="s">
        <v>31</v>
      </c>
      <c r="B87" s="1" t="s">
        <v>2926</v>
      </c>
      <c r="C87" s="1" t="s">
        <v>2927</v>
      </c>
      <c r="D87" s="1" t="s">
        <v>2928</v>
      </c>
      <c r="E87" s="1" t="s">
        <v>2929</v>
      </c>
      <c r="F87" s="1" t="s">
        <v>2930</v>
      </c>
      <c r="H87" s="1">
        <v>14</v>
      </c>
      <c r="I87" s="1">
        <v>2013</v>
      </c>
      <c r="O87" s="1" t="s">
        <v>2931</v>
      </c>
    </row>
    <row r="88" spans="1:16" ht="15.75" customHeight="1">
      <c r="A88" s="1" t="s">
        <v>10</v>
      </c>
      <c r="B88" s="1" t="s">
        <v>4361</v>
      </c>
      <c r="C88" s="1" t="s">
        <v>4362</v>
      </c>
      <c r="D88" s="1" t="s">
        <v>4363</v>
      </c>
      <c r="E88" s="1" t="s">
        <v>4364</v>
      </c>
      <c r="F88" s="1" t="s">
        <v>4365</v>
      </c>
      <c r="H88" s="1">
        <v>14</v>
      </c>
      <c r="I88" s="1">
        <v>2013</v>
      </c>
      <c r="J88" s="1">
        <v>20</v>
      </c>
      <c r="K88" s="1">
        <v>1</v>
      </c>
      <c r="O88" s="1" t="s">
        <v>4366</v>
      </c>
    </row>
    <row r="89" spans="1:16" ht="15.75" customHeight="1">
      <c r="A89" s="1" t="s">
        <v>10</v>
      </c>
      <c r="B89" s="1" t="s">
        <v>683</v>
      </c>
      <c r="C89" s="1" t="s">
        <v>684</v>
      </c>
      <c r="D89" s="1" t="s">
        <v>685</v>
      </c>
      <c r="F89" s="1" t="s">
        <v>686</v>
      </c>
      <c r="H89" s="1">
        <v>10</v>
      </c>
      <c r="I89" s="1">
        <v>2013</v>
      </c>
      <c r="J89" s="1">
        <v>155</v>
      </c>
      <c r="O89" s="1" t="s">
        <v>687</v>
      </c>
    </row>
    <row r="90" spans="1:16" ht="15.75" customHeight="1">
      <c r="A90" s="1" t="s">
        <v>10</v>
      </c>
      <c r="B90" s="1" t="s">
        <v>6189</v>
      </c>
      <c r="C90" s="1" t="s">
        <v>6190</v>
      </c>
      <c r="D90" s="1" t="s">
        <v>70</v>
      </c>
      <c r="E90" s="1" t="s">
        <v>6191</v>
      </c>
      <c r="F90" s="1" t="s">
        <v>6192</v>
      </c>
      <c r="H90" s="1">
        <v>9</v>
      </c>
      <c r="I90" s="1">
        <v>2013</v>
      </c>
      <c r="J90" s="1">
        <v>7</v>
      </c>
      <c r="K90" s="1" t="s">
        <v>6193</v>
      </c>
    </row>
    <row r="91" spans="1:16" ht="15.75" customHeight="1">
      <c r="A91" s="1" t="s">
        <v>10</v>
      </c>
      <c r="B91" s="1" t="s">
        <v>74</v>
      </c>
      <c r="C91" s="1" t="s">
        <v>75</v>
      </c>
      <c r="D91" s="1" t="s">
        <v>76</v>
      </c>
      <c r="E91" s="1" t="s">
        <v>77</v>
      </c>
      <c r="F91" s="1" t="s">
        <v>78</v>
      </c>
      <c r="H91" s="1">
        <v>8</v>
      </c>
      <c r="I91" s="1">
        <v>2013</v>
      </c>
      <c r="J91" s="1">
        <v>26</v>
      </c>
      <c r="K91" s="1">
        <v>3</v>
      </c>
      <c r="O91" s="1" t="s">
        <v>79</v>
      </c>
    </row>
    <row r="92" spans="1:16" ht="15.75" customHeight="1">
      <c r="A92" s="1" t="s">
        <v>0</v>
      </c>
      <c r="B92" s="1" t="s">
        <v>4675</v>
      </c>
      <c r="C92" s="1" t="s">
        <v>4676</v>
      </c>
      <c r="D92" s="1" t="s">
        <v>4677</v>
      </c>
      <c r="E92" s="1" t="s">
        <v>4678</v>
      </c>
      <c r="F92" s="1" t="s">
        <v>4679</v>
      </c>
      <c r="G92" s="1">
        <v>16</v>
      </c>
      <c r="H92" s="1">
        <v>7</v>
      </c>
      <c r="I92" s="1">
        <v>2013</v>
      </c>
      <c r="J92" s="1">
        <v>0</v>
      </c>
      <c r="K92" s="1" t="s">
        <v>4680</v>
      </c>
      <c r="O92" s="1" t="s">
        <v>4681</v>
      </c>
    </row>
    <row r="93" spans="1:16" ht="15.75" customHeight="1">
      <c r="A93" s="1" t="s">
        <v>0</v>
      </c>
      <c r="B93" s="1" t="s">
        <v>56</v>
      </c>
      <c r="C93" s="1" t="s">
        <v>57</v>
      </c>
      <c r="D93" s="1" t="s">
        <v>58</v>
      </c>
      <c r="E93" s="1" t="s">
        <v>59</v>
      </c>
      <c r="F93" s="1" t="s">
        <v>60</v>
      </c>
      <c r="G93" s="1">
        <v>18</v>
      </c>
      <c r="H93" s="1">
        <v>7</v>
      </c>
      <c r="I93" s="1">
        <v>2013</v>
      </c>
      <c r="J93" s="1">
        <v>13</v>
      </c>
      <c r="K93" s="1" t="s">
        <v>61</v>
      </c>
    </row>
    <row r="94" spans="1:16" ht="15.75" customHeight="1">
      <c r="A94" s="1" t="s">
        <v>0</v>
      </c>
      <c r="B94" s="1" t="s">
        <v>6220</v>
      </c>
      <c r="C94" s="1" t="s">
        <v>6225</v>
      </c>
      <c r="D94" s="1" t="s">
        <v>52</v>
      </c>
      <c r="E94" s="1" t="s">
        <v>6226</v>
      </c>
      <c r="F94" s="1" t="s">
        <v>6227</v>
      </c>
      <c r="G94" s="1">
        <v>22</v>
      </c>
      <c r="H94" s="1">
        <v>7</v>
      </c>
      <c r="I94" s="1">
        <v>2013</v>
      </c>
      <c r="J94" s="1">
        <v>12</v>
      </c>
      <c r="K94" s="1" t="s">
        <v>55</v>
      </c>
      <c r="O94" s="1" t="s">
        <v>6228</v>
      </c>
    </row>
    <row r="95" spans="1:16" ht="15.75" customHeight="1">
      <c r="A95" s="1" t="s">
        <v>10</v>
      </c>
      <c r="B95" s="1" t="s">
        <v>5079</v>
      </c>
      <c r="C95" s="1" t="s">
        <v>5080</v>
      </c>
      <c r="D95" s="1" t="s">
        <v>473</v>
      </c>
      <c r="E95" s="1" t="s">
        <v>5081</v>
      </c>
      <c r="F95" s="1" t="s">
        <v>5082</v>
      </c>
      <c r="H95" s="1">
        <v>5</v>
      </c>
      <c r="I95" s="1">
        <v>2013</v>
      </c>
      <c r="J95" s="1">
        <v>39</v>
      </c>
      <c r="K95" s="1">
        <v>116</v>
      </c>
      <c r="O95" s="1" t="s">
        <v>5083</v>
      </c>
    </row>
    <row r="96" spans="1:16" ht="15.75" customHeight="1">
      <c r="A96" s="1" t="s">
        <v>0</v>
      </c>
      <c r="B96" s="1" t="s">
        <v>4709</v>
      </c>
      <c r="C96" s="1" t="s">
        <v>4710</v>
      </c>
      <c r="D96" s="1" t="s">
        <v>4711</v>
      </c>
      <c r="E96" s="1" t="s">
        <v>4712</v>
      </c>
      <c r="F96" s="1" t="s">
        <v>4713</v>
      </c>
      <c r="G96" s="1">
        <v>32</v>
      </c>
      <c r="H96" s="1">
        <v>5</v>
      </c>
      <c r="I96" s="1">
        <v>2013</v>
      </c>
      <c r="J96" s="1">
        <v>5</v>
      </c>
      <c r="K96" s="1" t="s">
        <v>4714</v>
      </c>
    </row>
    <row r="97" spans="1:16" ht="15.75" customHeight="1">
      <c r="A97" s="1" t="s">
        <v>10</v>
      </c>
      <c r="B97" s="1" t="s">
        <v>3123</v>
      </c>
      <c r="C97" s="1" t="s">
        <v>3124</v>
      </c>
      <c r="D97" s="1" t="s">
        <v>650</v>
      </c>
      <c r="E97" s="1" t="s">
        <v>3125</v>
      </c>
      <c r="F97" s="1" t="s">
        <v>3126</v>
      </c>
      <c r="H97" s="1">
        <v>3</v>
      </c>
      <c r="I97" s="1">
        <v>2013</v>
      </c>
      <c r="J97" s="1">
        <v>24</v>
      </c>
      <c r="O97" s="1" t="s">
        <v>3127</v>
      </c>
    </row>
    <row r="98" spans="1:16" ht="15.75" customHeight="1">
      <c r="A98" s="1" t="s">
        <v>10</v>
      </c>
      <c r="B98" s="1" t="s">
        <v>6532</v>
      </c>
      <c r="C98" s="1" t="s">
        <v>6533</v>
      </c>
      <c r="D98" s="1" t="s">
        <v>6534</v>
      </c>
      <c r="E98" s="1" t="s">
        <v>6535</v>
      </c>
      <c r="F98" s="1" t="s">
        <v>6536</v>
      </c>
      <c r="H98" s="1">
        <v>3</v>
      </c>
      <c r="I98" s="1">
        <v>2013</v>
      </c>
      <c r="J98" s="1">
        <v>55</v>
      </c>
      <c r="K98" s="1">
        <v>2</v>
      </c>
    </row>
    <row r="99" spans="1:16" ht="15.75" customHeight="1">
      <c r="A99" s="1" t="s">
        <v>10</v>
      </c>
      <c r="B99" s="1" t="s">
        <v>4650</v>
      </c>
      <c r="C99" s="1" t="s">
        <v>4651</v>
      </c>
      <c r="D99" s="1" t="s">
        <v>674</v>
      </c>
      <c r="E99" s="1" t="s">
        <v>4652</v>
      </c>
      <c r="F99" s="1" t="s">
        <v>4653</v>
      </c>
      <c r="H99" s="1">
        <v>53</v>
      </c>
      <c r="I99" s="1">
        <v>2014</v>
      </c>
      <c r="J99" s="1">
        <v>41</v>
      </c>
      <c r="K99" s="1">
        <v>5</v>
      </c>
      <c r="O99" s="1" t="s">
        <v>4654</v>
      </c>
    </row>
    <row r="100" spans="1:16" ht="15.75" customHeight="1">
      <c r="A100" s="1" t="s">
        <v>10</v>
      </c>
      <c r="B100" s="1" t="s">
        <v>4626</v>
      </c>
      <c r="C100" s="1" t="s">
        <v>4627</v>
      </c>
      <c r="D100" s="1" t="s">
        <v>4628</v>
      </c>
      <c r="E100" s="1" t="s">
        <v>4629</v>
      </c>
      <c r="F100" s="1" t="s">
        <v>4630</v>
      </c>
      <c r="H100" s="1">
        <v>38</v>
      </c>
      <c r="I100" s="1">
        <v>2014</v>
      </c>
      <c r="J100" s="1">
        <v>45</v>
      </c>
      <c r="K100" s="1">
        <v>3</v>
      </c>
      <c r="O100" s="1" t="s">
        <v>4631</v>
      </c>
    </row>
    <row r="101" spans="1:16" ht="15.75" customHeight="1">
      <c r="A101" s="1" t="s">
        <v>0</v>
      </c>
      <c r="B101" s="1" t="s">
        <v>204</v>
      </c>
      <c r="C101" s="1" t="s">
        <v>205</v>
      </c>
      <c r="D101" s="1" t="s">
        <v>206</v>
      </c>
      <c r="E101" s="1" t="s">
        <v>207</v>
      </c>
      <c r="F101" s="1" t="s">
        <v>208</v>
      </c>
      <c r="G101" s="1">
        <v>41</v>
      </c>
      <c r="H101" s="1">
        <v>32</v>
      </c>
      <c r="I101" s="1">
        <v>2014</v>
      </c>
      <c r="J101" s="1" t="s">
        <v>6</v>
      </c>
      <c r="K101" s="1">
        <v>48</v>
      </c>
      <c r="L101" s="1">
        <v>15</v>
      </c>
      <c r="M101" s="1">
        <v>28</v>
      </c>
      <c r="N101" s="1" t="s">
        <v>6</v>
      </c>
      <c r="O101" s="1" t="s">
        <v>209</v>
      </c>
      <c r="P101" s="3" t="str">
        <f>HYPERLINK("http://dx.doi.org/10.7440/res48.2014.02","http://dx.doi.org/10.7440/res48.2014.02")</f>
        <v>http://dx.doi.org/10.7440/res48.2014.02</v>
      </c>
    </row>
    <row r="102" spans="1:16" ht="15.75" customHeight="1">
      <c r="A102" s="1" t="s">
        <v>0</v>
      </c>
      <c r="B102" s="1" t="s">
        <v>6229</v>
      </c>
      <c r="C102" s="1" t="s">
        <v>6230</v>
      </c>
      <c r="D102" s="1" t="s">
        <v>58</v>
      </c>
      <c r="E102" s="1" t="s">
        <v>6231</v>
      </c>
      <c r="F102" s="1" t="s">
        <v>6232</v>
      </c>
      <c r="G102" s="1">
        <v>47</v>
      </c>
      <c r="H102" s="1">
        <v>29</v>
      </c>
      <c r="I102" s="1">
        <v>2014</v>
      </c>
      <c r="J102" s="1">
        <v>14</v>
      </c>
      <c r="K102" s="1" t="s">
        <v>61</v>
      </c>
    </row>
    <row r="103" spans="1:16" ht="15.75" customHeight="1">
      <c r="A103" s="1" t="s">
        <v>10</v>
      </c>
      <c r="B103" s="1" t="s">
        <v>2096</v>
      </c>
      <c r="C103" s="1" t="s">
        <v>2097</v>
      </c>
      <c r="D103" s="1" t="s">
        <v>2098</v>
      </c>
      <c r="E103" s="1" t="s">
        <v>2099</v>
      </c>
      <c r="F103" s="1" t="s">
        <v>2100</v>
      </c>
      <c r="H103" s="1">
        <v>25</v>
      </c>
      <c r="I103" s="1">
        <v>2014</v>
      </c>
      <c r="J103" s="1">
        <v>41</v>
      </c>
      <c r="K103" s="1">
        <v>6</v>
      </c>
      <c r="O103" s="1" t="s">
        <v>2101</v>
      </c>
    </row>
    <row r="104" spans="1:16" ht="15.75" customHeight="1">
      <c r="A104" s="1" t="s">
        <v>10</v>
      </c>
      <c r="B104" s="1" t="s">
        <v>543</v>
      </c>
      <c r="C104" s="1" t="s">
        <v>544</v>
      </c>
      <c r="D104" s="1" t="s">
        <v>545</v>
      </c>
      <c r="F104" s="1" t="s">
        <v>546</v>
      </c>
      <c r="H104" s="1">
        <v>22</v>
      </c>
      <c r="I104" s="1">
        <v>2014</v>
      </c>
      <c r="J104" s="1">
        <v>43</v>
      </c>
      <c r="K104" s="1">
        <v>2</v>
      </c>
      <c r="O104" s="1" t="s">
        <v>547</v>
      </c>
    </row>
    <row r="105" spans="1:16" ht="15.75" customHeight="1">
      <c r="A105" s="1" t="s">
        <v>10</v>
      </c>
      <c r="B105" s="1" t="s">
        <v>5452</v>
      </c>
      <c r="C105" s="1" t="s">
        <v>5453</v>
      </c>
      <c r="D105" s="1" t="s">
        <v>1517</v>
      </c>
      <c r="F105" s="1" t="s">
        <v>5454</v>
      </c>
      <c r="H105" s="1">
        <v>22</v>
      </c>
      <c r="I105" s="1">
        <v>2014</v>
      </c>
      <c r="J105" s="1">
        <v>52</v>
      </c>
      <c r="K105" s="1">
        <v>5</v>
      </c>
      <c r="O105" s="1" t="s">
        <v>5455</v>
      </c>
    </row>
    <row r="106" spans="1:16" ht="15.75" customHeight="1">
      <c r="A106" s="1" t="s">
        <v>0</v>
      </c>
      <c r="B106" s="1" t="s">
        <v>4324</v>
      </c>
      <c r="C106" s="1" t="s">
        <v>4325</v>
      </c>
      <c r="D106" s="1" t="s">
        <v>1933</v>
      </c>
      <c r="E106" s="1" t="s">
        <v>4326</v>
      </c>
      <c r="F106" s="1" t="s">
        <v>4327</v>
      </c>
      <c r="G106" s="1">
        <v>28</v>
      </c>
      <c r="H106" s="1">
        <v>19</v>
      </c>
      <c r="I106" s="1">
        <v>2014</v>
      </c>
      <c r="J106" s="1">
        <v>40</v>
      </c>
      <c r="K106" s="1">
        <v>120</v>
      </c>
      <c r="L106" s="1">
        <v>159</v>
      </c>
      <c r="M106" s="1">
        <v>181</v>
      </c>
      <c r="N106" s="1" t="s">
        <v>6</v>
      </c>
      <c r="O106" s="1" t="s">
        <v>4328</v>
      </c>
      <c r="P106" s="3" t="str">
        <f>HYPERLINK("http://dx.doi.org/10.4067/S0250-71612014000200008","http://dx.doi.org/10.4067/S0250-71612014000200008")</f>
        <v>http://dx.doi.org/10.4067/S0250-71612014000200008</v>
      </c>
    </row>
    <row r="107" spans="1:16" ht="15.75" customHeight="1">
      <c r="A107" s="1" t="s">
        <v>0</v>
      </c>
      <c r="B107" s="1" t="s">
        <v>932</v>
      </c>
      <c r="C107" s="1" t="s">
        <v>933</v>
      </c>
      <c r="D107" s="1" t="s">
        <v>934</v>
      </c>
      <c r="E107" s="1" t="s">
        <v>935</v>
      </c>
      <c r="F107" s="1" t="s">
        <v>936</v>
      </c>
      <c r="G107" s="1">
        <v>28</v>
      </c>
      <c r="H107" s="1">
        <v>18</v>
      </c>
      <c r="I107" s="1">
        <v>2014</v>
      </c>
      <c r="J107" s="1">
        <v>44</v>
      </c>
      <c r="K107" s="1" t="s">
        <v>6</v>
      </c>
      <c r="L107" s="1">
        <v>75</v>
      </c>
      <c r="M107" s="1">
        <v>81</v>
      </c>
      <c r="N107" s="1" t="s">
        <v>6</v>
      </c>
      <c r="O107" s="1" t="s">
        <v>937</v>
      </c>
      <c r="P107" s="3" t="str">
        <f>HYPERLINK("http://dx.doi.org/10.1016/j.regsciurbeco.2013.11.005","http://dx.doi.org/10.1016/j.regsciurbeco.2013.11.005")</f>
        <v>http://dx.doi.org/10.1016/j.regsciurbeco.2013.11.005</v>
      </c>
    </row>
    <row r="108" spans="1:16" ht="15.75" customHeight="1">
      <c r="A108" s="1" t="s">
        <v>0</v>
      </c>
      <c r="B108" s="1" t="s">
        <v>6692</v>
      </c>
      <c r="C108" s="1" t="s">
        <v>6697</v>
      </c>
      <c r="D108" s="1" t="s">
        <v>6698</v>
      </c>
      <c r="E108" s="1" t="s">
        <v>6699</v>
      </c>
      <c r="F108" s="1" t="s">
        <v>6700</v>
      </c>
      <c r="G108" s="1">
        <v>56</v>
      </c>
      <c r="H108" s="1">
        <v>17</v>
      </c>
      <c r="I108" s="1">
        <v>2014</v>
      </c>
      <c r="J108" s="1" t="s">
        <v>6</v>
      </c>
      <c r="K108" s="1">
        <v>53</v>
      </c>
      <c r="L108" s="1">
        <v>13</v>
      </c>
      <c r="M108" s="1">
        <v>34</v>
      </c>
      <c r="N108" s="1" t="s">
        <v>6</v>
      </c>
      <c r="O108" s="1" t="s">
        <v>6</v>
      </c>
      <c r="P108" s="1" t="s">
        <v>6</v>
      </c>
    </row>
    <row r="109" spans="1:16" ht="15.75" customHeight="1">
      <c r="A109" s="1" t="s">
        <v>10</v>
      </c>
      <c r="B109" s="1" t="s">
        <v>5548</v>
      </c>
      <c r="C109" s="1" t="s">
        <v>5549</v>
      </c>
      <c r="D109" s="1" t="s">
        <v>473</v>
      </c>
      <c r="E109" s="1" t="s">
        <v>5550</v>
      </c>
      <c r="F109" s="1" t="s">
        <v>5551</v>
      </c>
      <c r="H109" s="1">
        <v>15</v>
      </c>
      <c r="I109" s="1">
        <v>2014</v>
      </c>
      <c r="J109" s="1">
        <v>40</v>
      </c>
      <c r="K109" s="1">
        <v>120</v>
      </c>
      <c r="O109" s="1" t="s">
        <v>4328</v>
      </c>
    </row>
    <row r="110" spans="1:16" ht="15.75" customHeight="1">
      <c r="A110" s="1" t="s">
        <v>0</v>
      </c>
      <c r="B110" s="1" t="s">
        <v>3461</v>
      </c>
      <c r="C110" s="1" t="s">
        <v>3462</v>
      </c>
      <c r="D110" s="1" t="s">
        <v>3463</v>
      </c>
      <c r="E110" s="1" t="s">
        <v>3464</v>
      </c>
      <c r="F110" s="1" t="s">
        <v>3465</v>
      </c>
      <c r="G110" s="1">
        <v>27</v>
      </c>
      <c r="H110" s="1">
        <v>14</v>
      </c>
      <c r="I110" s="1">
        <v>2014</v>
      </c>
      <c r="K110" s="1" t="s">
        <v>2210</v>
      </c>
    </row>
    <row r="111" spans="1:16" ht="15.75" customHeight="1">
      <c r="A111" s="1" t="s">
        <v>10</v>
      </c>
      <c r="B111" s="1" t="s">
        <v>410</v>
      </c>
      <c r="C111" s="1" t="s">
        <v>411</v>
      </c>
      <c r="D111" s="1" t="s">
        <v>412</v>
      </c>
      <c r="E111" s="1" t="s">
        <v>413</v>
      </c>
      <c r="F111" s="1" t="s">
        <v>414</v>
      </c>
      <c r="H111" s="1">
        <v>13</v>
      </c>
      <c r="I111" s="1">
        <v>2014</v>
      </c>
      <c r="J111" s="1">
        <v>47</v>
      </c>
      <c r="K111" s="1">
        <v>12</v>
      </c>
      <c r="O111" s="1" t="s">
        <v>415</v>
      </c>
    </row>
    <row r="112" spans="1:16" ht="15.75" customHeight="1">
      <c r="A112" s="1" t="s">
        <v>10</v>
      </c>
      <c r="B112" s="1" t="s">
        <v>5464</v>
      </c>
      <c r="C112" s="1" t="s">
        <v>5465</v>
      </c>
      <c r="D112" s="1" t="s">
        <v>5466</v>
      </c>
      <c r="E112" s="1" t="s">
        <v>5467</v>
      </c>
      <c r="F112" s="1" t="s">
        <v>5468</v>
      </c>
      <c r="H112" s="1">
        <v>11</v>
      </c>
      <c r="I112" s="1">
        <v>2014</v>
      </c>
      <c r="J112" s="1">
        <v>19</v>
      </c>
      <c r="K112" s="1">
        <v>1</v>
      </c>
      <c r="O112" s="1" t="s">
        <v>5469</v>
      </c>
    </row>
    <row r="113" spans="1:16" ht="15.75" customHeight="1">
      <c r="A113" s="1" t="s">
        <v>10</v>
      </c>
      <c r="B113" s="1" t="s">
        <v>3637</v>
      </c>
      <c r="C113" s="1" t="s">
        <v>3638</v>
      </c>
      <c r="D113" s="1" t="s">
        <v>3639</v>
      </c>
      <c r="E113" s="1" t="s">
        <v>3640</v>
      </c>
      <c r="F113" s="1" t="s">
        <v>3641</v>
      </c>
      <c r="H113" s="1">
        <v>10</v>
      </c>
      <c r="I113" s="1">
        <v>2014</v>
      </c>
      <c r="J113" s="1">
        <v>28</v>
      </c>
      <c r="O113" s="1" t="s">
        <v>3642</v>
      </c>
    </row>
    <row r="114" spans="1:16" ht="15.75" customHeight="1">
      <c r="A114" s="1" t="s">
        <v>10</v>
      </c>
      <c r="B114" s="1" t="s">
        <v>434</v>
      </c>
      <c r="C114" s="1" t="s">
        <v>435</v>
      </c>
      <c r="D114" s="1" t="s">
        <v>70</v>
      </c>
      <c r="E114" s="1" t="s">
        <v>436</v>
      </c>
      <c r="F114" s="1" t="s">
        <v>437</v>
      </c>
      <c r="H114" s="1">
        <v>7</v>
      </c>
      <c r="I114" s="1">
        <v>2014</v>
      </c>
      <c r="J114" s="1">
        <v>7</v>
      </c>
      <c r="K114" s="1">
        <v>4</v>
      </c>
    </row>
    <row r="115" spans="1:16" ht="15.75" customHeight="1">
      <c r="A115" s="1" t="s">
        <v>10</v>
      </c>
      <c r="B115" s="1" t="s">
        <v>4096</v>
      </c>
      <c r="C115" s="1" t="s">
        <v>4097</v>
      </c>
      <c r="D115" s="1" t="s">
        <v>1445</v>
      </c>
      <c r="E115" s="1" t="s">
        <v>4098</v>
      </c>
      <c r="F115" s="1" t="s">
        <v>4099</v>
      </c>
      <c r="H115" s="1">
        <v>7</v>
      </c>
      <c r="I115" s="1">
        <v>2014</v>
      </c>
      <c r="J115" s="1">
        <v>35</v>
      </c>
      <c r="K115" s="1">
        <v>5</v>
      </c>
      <c r="O115" s="1" t="s">
        <v>4100</v>
      </c>
    </row>
    <row r="116" spans="1:16" ht="15.75" customHeight="1">
      <c r="A116" s="1" t="s">
        <v>10</v>
      </c>
      <c r="B116" s="1" t="s">
        <v>4244</v>
      </c>
      <c r="C116" s="1" t="s">
        <v>4245</v>
      </c>
      <c r="D116" s="1" t="s">
        <v>70</v>
      </c>
      <c r="E116" s="1" t="s">
        <v>4246</v>
      </c>
      <c r="F116" s="1" t="s">
        <v>4247</v>
      </c>
      <c r="H116" s="1">
        <v>6</v>
      </c>
      <c r="I116" s="1">
        <v>2014</v>
      </c>
      <c r="J116" s="1">
        <v>7</v>
      </c>
      <c r="K116" s="1">
        <v>3</v>
      </c>
    </row>
    <row r="117" spans="1:16" ht="15.75" customHeight="1">
      <c r="A117" s="1" t="s">
        <v>10</v>
      </c>
      <c r="B117" s="1" t="s">
        <v>6883</v>
      </c>
      <c r="C117" s="1" t="s">
        <v>6889</v>
      </c>
      <c r="D117" s="1" t="s">
        <v>6890</v>
      </c>
      <c r="E117" s="1" t="s">
        <v>6891</v>
      </c>
      <c r="F117" s="1" t="s">
        <v>6892</v>
      </c>
      <c r="H117" s="1">
        <v>6</v>
      </c>
      <c r="I117" s="1">
        <v>2014</v>
      </c>
      <c r="J117" s="1">
        <v>17</v>
      </c>
      <c r="K117" s="1">
        <v>6</v>
      </c>
      <c r="O117" s="1" t="s">
        <v>6893</v>
      </c>
    </row>
    <row r="118" spans="1:16" ht="15.75" customHeight="1">
      <c r="A118" s="1" t="s">
        <v>10</v>
      </c>
      <c r="B118" s="1" t="s">
        <v>2404</v>
      </c>
      <c r="C118" s="1" t="s">
        <v>2405</v>
      </c>
      <c r="D118" s="1" t="s">
        <v>473</v>
      </c>
      <c r="E118" s="1" t="s">
        <v>2406</v>
      </c>
      <c r="F118" s="1" t="s">
        <v>2407</v>
      </c>
      <c r="H118" s="1">
        <v>6</v>
      </c>
      <c r="I118" s="1">
        <v>2014</v>
      </c>
      <c r="J118" s="1">
        <v>40</v>
      </c>
      <c r="K118" s="1">
        <v>121</v>
      </c>
    </row>
    <row r="119" spans="1:16" ht="15.75" customHeight="1">
      <c r="A119" s="1" t="s">
        <v>0</v>
      </c>
      <c r="B119" s="1" t="s">
        <v>4644</v>
      </c>
      <c r="C119" s="1" t="s">
        <v>4645</v>
      </c>
      <c r="D119" s="1" t="s">
        <v>4646</v>
      </c>
      <c r="E119" s="1" t="s">
        <v>4647</v>
      </c>
      <c r="F119" s="1" t="s">
        <v>4648</v>
      </c>
      <c r="G119" s="1">
        <v>39</v>
      </c>
      <c r="H119" s="1">
        <v>6</v>
      </c>
      <c r="I119" s="1">
        <v>2014</v>
      </c>
      <c r="J119" s="1">
        <v>93</v>
      </c>
      <c r="K119" s="1">
        <v>3</v>
      </c>
      <c r="L119" s="1">
        <v>577</v>
      </c>
      <c r="M119" s="1">
        <v>594</v>
      </c>
      <c r="N119" s="1" t="s">
        <v>6</v>
      </c>
      <c r="O119" s="1" t="s">
        <v>4649</v>
      </c>
      <c r="P119" s="3" t="str">
        <f>HYPERLINK("http://dx.doi.org/10.1111/pirs.12016","http://dx.doi.org/10.1111/pirs.12016")</f>
        <v>http://dx.doi.org/10.1111/pirs.12016</v>
      </c>
    </row>
    <row r="120" spans="1:16" ht="15.75" customHeight="1">
      <c r="A120" s="1" t="s">
        <v>0</v>
      </c>
      <c r="B120" s="1" t="s">
        <v>3568</v>
      </c>
      <c r="C120" s="1" t="s">
        <v>3569</v>
      </c>
      <c r="D120" s="1" t="s">
        <v>58</v>
      </c>
      <c r="E120" s="1" t="s">
        <v>3570</v>
      </c>
      <c r="F120" s="1" t="s">
        <v>3571</v>
      </c>
      <c r="G120" s="1">
        <v>49</v>
      </c>
      <c r="H120" s="1">
        <v>5</v>
      </c>
      <c r="I120" s="1">
        <v>2014</v>
      </c>
      <c r="J120" s="1">
        <v>14</v>
      </c>
      <c r="K120" s="1" t="s">
        <v>378</v>
      </c>
    </row>
    <row r="121" spans="1:16" ht="15.75" customHeight="1">
      <c r="A121" s="1" t="s">
        <v>0</v>
      </c>
      <c r="B121" s="1" t="s">
        <v>2606</v>
      </c>
      <c r="C121" s="1" t="s">
        <v>2607</v>
      </c>
      <c r="D121" s="1" t="s">
        <v>206</v>
      </c>
      <c r="E121" s="1" t="s">
        <v>2608</v>
      </c>
      <c r="F121" s="1" t="s">
        <v>2609</v>
      </c>
      <c r="G121" s="1">
        <v>36</v>
      </c>
      <c r="H121" s="1">
        <v>5</v>
      </c>
      <c r="I121" s="1">
        <v>2014</v>
      </c>
      <c r="J121" s="1" t="s">
        <v>6</v>
      </c>
      <c r="K121" s="1">
        <v>49</v>
      </c>
      <c r="L121" s="1">
        <v>101</v>
      </c>
      <c r="M121" s="1">
        <v>112</v>
      </c>
      <c r="N121" s="1" t="s">
        <v>6</v>
      </c>
      <c r="O121" s="1" t="s">
        <v>2610</v>
      </c>
      <c r="P121" s="3" t="str">
        <f>HYPERLINK("http://dx.doi.org/10.7440/res49.2014.08","http://dx.doi.org/10.7440/res49.2014.08")</f>
        <v>http://dx.doi.org/10.7440/res49.2014.08</v>
      </c>
    </row>
    <row r="122" spans="1:16" ht="15.75" customHeight="1">
      <c r="A122" s="1" t="s">
        <v>10</v>
      </c>
      <c r="B122" s="1" t="s">
        <v>1084</v>
      </c>
      <c r="C122" s="1" t="s">
        <v>1085</v>
      </c>
      <c r="D122" s="1" t="s">
        <v>1086</v>
      </c>
      <c r="F122" s="1" t="s">
        <v>1087</v>
      </c>
      <c r="H122" s="1">
        <v>5</v>
      </c>
      <c r="I122" s="1">
        <v>2014</v>
      </c>
      <c r="J122" s="1">
        <v>56</v>
      </c>
      <c r="K122" s="1">
        <v>2</v>
      </c>
      <c r="O122" s="1" t="s">
        <v>1088</v>
      </c>
    </row>
    <row r="123" spans="1:16" ht="15.75" customHeight="1">
      <c r="A123" s="1" t="s">
        <v>10</v>
      </c>
      <c r="B123" s="1" t="s">
        <v>1443</v>
      </c>
      <c r="C123" s="1" t="s">
        <v>1444</v>
      </c>
      <c r="D123" s="1" t="s">
        <v>1445</v>
      </c>
      <c r="E123" s="1" t="s">
        <v>1446</v>
      </c>
      <c r="F123" s="1" t="s">
        <v>1447</v>
      </c>
      <c r="H123" s="1">
        <v>4</v>
      </c>
      <c r="I123" s="1">
        <v>2014</v>
      </c>
      <c r="J123" s="1">
        <v>35</v>
      </c>
      <c r="K123" s="1">
        <v>5</v>
      </c>
      <c r="O123" s="1" t="s">
        <v>1448</v>
      </c>
    </row>
    <row r="124" spans="1:16" ht="15.75" customHeight="1">
      <c r="A124" s="1" t="s">
        <v>10</v>
      </c>
      <c r="B124" s="1" t="s">
        <v>6681</v>
      </c>
      <c r="C124" s="1" t="s">
        <v>6682</v>
      </c>
      <c r="D124" s="2" t="s">
        <v>6683</v>
      </c>
      <c r="E124" s="1" t="s">
        <v>6684</v>
      </c>
      <c r="F124" s="1" t="s">
        <v>6685</v>
      </c>
      <c r="H124" s="1">
        <v>4</v>
      </c>
      <c r="I124" s="1">
        <v>2014</v>
      </c>
      <c r="J124" s="1">
        <v>83</v>
      </c>
      <c r="O124" s="1" t="s">
        <v>6686</v>
      </c>
    </row>
    <row r="125" spans="1:16" ht="15.75" customHeight="1">
      <c r="A125" s="1" t="s">
        <v>10</v>
      </c>
      <c r="B125" s="1" t="s">
        <v>6097</v>
      </c>
      <c r="C125" s="1" t="s">
        <v>6098</v>
      </c>
      <c r="D125" s="1" t="s">
        <v>6099</v>
      </c>
      <c r="E125" s="1" t="s">
        <v>6100</v>
      </c>
      <c r="F125" s="1" t="s">
        <v>6101</v>
      </c>
      <c r="H125" s="1">
        <v>3</v>
      </c>
      <c r="I125" s="1">
        <v>2014</v>
      </c>
      <c r="J125" s="1">
        <v>50</v>
      </c>
      <c r="K125" s="1">
        <v>2</v>
      </c>
      <c r="O125" s="1" t="s">
        <v>6102</v>
      </c>
    </row>
    <row r="126" spans="1:16" ht="15.75" customHeight="1">
      <c r="A126" s="1" t="s">
        <v>10</v>
      </c>
      <c r="B126" s="1" t="s">
        <v>3893</v>
      </c>
      <c r="C126" s="1" t="s">
        <v>3894</v>
      </c>
      <c r="D126" s="1" t="s">
        <v>70</v>
      </c>
      <c r="E126" s="1" t="s">
        <v>3895</v>
      </c>
      <c r="F126" s="1" t="s">
        <v>3896</v>
      </c>
      <c r="H126" s="1">
        <v>3</v>
      </c>
      <c r="I126" s="1">
        <v>2014</v>
      </c>
      <c r="J126" s="1">
        <v>7</v>
      </c>
      <c r="K126" s="1">
        <v>4</v>
      </c>
    </row>
    <row r="127" spans="1:16" ht="15.75" customHeight="1">
      <c r="A127" s="1" t="s">
        <v>0</v>
      </c>
      <c r="B127" s="1" t="s">
        <v>6728</v>
      </c>
      <c r="C127" s="1" t="s">
        <v>6729</v>
      </c>
      <c r="D127" s="1" t="s">
        <v>727</v>
      </c>
      <c r="E127" s="1" t="s">
        <v>6730</v>
      </c>
      <c r="F127" s="1" t="s">
        <v>6731</v>
      </c>
      <c r="G127" s="1">
        <v>9</v>
      </c>
      <c r="H127" s="1">
        <v>3</v>
      </c>
      <c r="I127" s="1">
        <v>2014</v>
      </c>
      <c r="J127" s="1">
        <v>27</v>
      </c>
      <c r="K127" s="1" t="s">
        <v>55</v>
      </c>
    </row>
    <row r="128" spans="1:16" ht="15.75" customHeight="1">
      <c r="A128" s="1" t="s">
        <v>10</v>
      </c>
      <c r="B128" s="1" t="s">
        <v>5917</v>
      </c>
      <c r="C128" s="1" t="s">
        <v>5918</v>
      </c>
      <c r="D128" s="1" t="s">
        <v>5919</v>
      </c>
      <c r="F128" s="1" t="s">
        <v>5920</v>
      </c>
      <c r="H128" s="1">
        <v>3</v>
      </c>
      <c r="I128" s="1">
        <v>2014</v>
      </c>
      <c r="J128" s="1">
        <v>18</v>
      </c>
      <c r="K128" s="1">
        <v>3</v>
      </c>
      <c r="O128" s="1" t="s">
        <v>5921</v>
      </c>
    </row>
    <row r="129" spans="1:16" ht="15.75" customHeight="1">
      <c r="A129" s="1" t="s">
        <v>0</v>
      </c>
      <c r="B129" s="1" t="s">
        <v>2569</v>
      </c>
      <c r="C129" s="1" t="s">
        <v>2573</v>
      </c>
      <c r="D129" s="1" t="s">
        <v>201</v>
      </c>
      <c r="E129" s="8" t="s">
        <v>7118</v>
      </c>
      <c r="F129" s="9" t="s">
        <v>7119</v>
      </c>
      <c r="G129" s="1">
        <v>42</v>
      </c>
      <c r="H129" s="1">
        <v>2</v>
      </c>
      <c r="I129" s="1">
        <v>2014</v>
      </c>
      <c r="J129" s="1" t="s">
        <v>6</v>
      </c>
      <c r="K129" s="1">
        <v>48</v>
      </c>
      <c r="L129" s="1">
        <v>175</v>
      </c>
      <c r="M129" s="1">
        <v>190</v>
      </c>
      <c r="N129" s="1" t="s">
        <v>6</v>
      </c>
      <c r="O129" s="1" t="s">
        <v>6</v>
      </c>
      <c r="P129" s="1" t="s">
        <v>6</v>
      </c>
    </row>
    <row r="130" spans="1:16" ht="15.75" customHeight="1">
      <c r="A130" s="1" t="s">
        <v>0</v>
      </c>
      <c r="B130" s="1" t="s">
        <v>3280</v>
      </c>
      <c r="C130" s="1" t="s">
        <v>3281</v>
      </c>
      <c r="D130" s="1" t="s">
        <v>3282</v>
      </c>
      <c r="E130" s="8" t="s">
        <v>7121</v>
      </c>
      <c r="F130" s="1" t="s">
        <v>3283</v>
      </c>
      <c r="G130" s="1">
        <v>54</v>
      </c>
      <c r="H130" s="1">
        <v>2</v>
      </c>
      <c r="I130" s="1">
        <v>2014</v>
      </c>
      <c r="J130" s="1">
        <v>27</v>
      </c>
      <c r="K130" s="1">
        <v>1</v>
      </c>
      <c r="L130" s="1">
        <v>132</v>
      </c>
      <c r="M130" s="1">
        <v>154</v>
      </c>
      <c r="N130" s="1" t="s">
        <v>6</v>
      </c>
      <c r="O130" s="1" t="s">
        <v>6</v>
      </c>
      <c r="P130" s="1" t="s">
        <v>6</v>
      </c>
    </row>
    <row r="131" spans="1:16" ht="15.75" customHeight="1">
      <c r="A131" s="1" t="s">
        <v>10</v>
      </c>
      <c r="B131" s="1" t="s">
        <v>1160</v>
      </c>
      <c r="C131" s="1" t="s">
        <v>1161</v>
      </c>
      <c r="D131" s="1" t="s">
        <v>1162</v>
      </c>
      <c r="E131" s="1" t="s">
        <v>1163</v>
      </c>
      <c r="F131" s="1" t="s">
        <v>1164</v>
      </c>
      <c r="H131" s="1">
        <v>2</v>
      </c>
      <c r="I131" s="1">
        <v>2014</v>
      </c>
      <c r="J131" s="1">
        <v>19</v>
      </c>
      <c r="K131" s="1">
        <v>2</v>
      </c>
    </row>
    <row r="132" spans="1:16" ht="15.75" customHeight="1">
      <c r="A132" s="1" t="s">
        <v>10</v>
      </c>
      <c r="B132" s="1" t="s">
        <v>1753</v>
      </c>
      <c r="C132" s="1" t="s">
        <v>1754</v>
      </c>
      <c r="D132" s="1" t="s">
        <v>1755</v>
      </c>
      <c r="E132" s="1" t="s">
        <v>1756</v>
      </c>
      <c r="F132" s="1" t="s">
        <v>1757</v>
      </c>
      <c r="H132" s="1">
        <v>2</v>
      </c>
      <c r="I132" s="1">
        <v>2014</v>
      </c>
      <c r="J132" s="1">
        <v>34</v>
      </c>
      <c r="O132" s="1" t="s">
        <v>1758</v>
      </c>
    </row>
    <row r="133" spans="1:16" ht="15.75" customHeight="1">
      <c r="A133" s="1" t="s">
        <v>10</v>
      </c>
      <c r="B133" s="1" t="s">
        <v>2729</v>
      </c>
      <c r="C133" s="1" t="s">
        <v>2730</v>
      </c>
      <c r="D133" s="1" t="s">
        <v>2731</v>
      </c>
      <c r="E133" s="1" t="s">
        <v>2732</v>
      </c>
      <c r="F133" s="1" t="s">
        <v>2733</v>
      </c>
      <c r="H133" s="1">
        <v>2</v>
      </c>
      <c r="I133" s="1">
        <v>2014</v>
      </c>
      <c r="J133" s="1">
        <v>2014</v>
      </c>
      <c r="K133" s="1">
        <v>35</v>
      </c>
    </row>
    <row r="134" spans="1:16" ht="15.75" customHeight="1">
      <c r="A134" s="1" t="s">
        <v>0</v>
      </c>
      <c r="B134" s="1" t="s">
        <v>3767</v>
      </c>
      <c r="C134" s="1" t="s">
        <v>3768</v>
      </c>
      <c r="D134" s="1" t="s">
        <v>2022</v>
      </c>
      <c r="E134" s="1" t="s">
        <v>3769</v>
      </c>
      <c r="F134" s="1" t="s">
        <v>3770</v>
      </c>
      <c r="G134" s="1">
        <v>62</v>
      </c>
      <c r="H134" s="1">
        <v>2</v>
      </c>
      <c r="I134" s="1">
        <v>2014</v>
      </c>
      <c r="J134" s="1" t="s">
        <v>6</v>
      </c>
      <c r="K134" s="1">
        <v>58</v>
      </c>
      <c r="L134" s="1">
        <v>223</v>
      </c>
      <c r="M134" s="1">
        <v>240</v>
      </c>
      <c r="N134" s="1" t="s">
        <v>6</v>
      </c>
      <c r="O134" s="1" t="s">
        <v>6</v>
      </c>
      <c r="P134" s="1" t="s">
        <v>6</v>
      </c>
    </row>
    <row r="135" spans="1:16" ht="15.75" customHeight="1">
      <c r="A135" s="1" t="s">
        <v>10</v>
      </c>
      <c r="B135" s="1" t="s">
        <v>5510</v>
      </c>
      <c r="C135" s="1" t="s">
        <v>5511</v>
      </c>
      <c r="D135" s="1" t="s">
        <v>5512</v>
      </c>
      <c r="E135" s="1" t="s">
        <v>5513</v>
      </c>
      <c r="F135" s="1" t="s">
        <v>5514</v>
      </c>
      <c r="H135" s="1">
        <v>1</v>
      </c>
      <c r="I135" s="1">
        <v>2014</v>
      </c>
      <c r="J135" s="1">
        <v>29</v>
      </c>
      <c r="K135" s="1">
        <v>1</v>
      </c>
      <c r="O135" s="1" t="s">
        <v>5515</v>
      </c>
    </row>
    <row r="136" spans="1:16" ht="15.75" customHeight="1">
      <c r="A136" s="1" t="s">
        <v>0</v>
      </c>
      <c r="B136" s="1" t="s">
        <v>6423</v>
      </c>
      <c r="C136" s="1" t="s">
        <v>6424</v>
      </c>
      <c r="D136" s="1" t="s">
        <v>1506</v>
      </c>
      <c r="E136" s="1" t="s">
        <v>6425</v>
      </c>
      <c r="F136" s="1" t="s">
        <v>6426</v>
      </c>
      <c r="G136" s="1">
        <v>21</v>
      </c>
      <c r="H136" s="1">
        <v>1</v>
      </c>
      <c r="I136" s="1">
        <v>2014</v>
      </c>
      <c r="J136" s="1">
        <v>18</v>
      </c>
      <c r="K136" s="1">
        <v>493</v>
      </c>
      <c r="L136" s="1" t="s">
        <v>6</v>
      </c>
      <c r="M136" s="1" t="s">
        <v>6</v>
      </c>
      <c r="N136" s="1" t="s">
        <v>6</v>
      </c>
      <c r="O136" s="1" t="s">
        <v>6</v>
      </c>
      <c r="P136" s="1" t="s">
        <v>6</v>
      </c>
    </row>
    <row r="137" spans="1:16" ht="15.75" customHeight="1">
      <c r="A137" s="1" t="s">
        <v>10</v>
      </c>
      <c r="B137" s="1" t="s">
        <v>3274</v>
      </c>
      <c r="C137" s="1" t="s">
        <v>3275</v>
      </c>
      <c r="D137" s="1" t="s">
        <v>3276</v>
      </c>
      <c r="E137" s="1" t="s">
        <v>3277</v>
      </c>
      <c r="F137" s="1" t="s">
        <v>3278</v>
      </c>
      <c r="H137" s="1">
        <v>0</v>
      </c>
      <c r="I137" s="1">
        <v>2014</v>
      </c>
      <c r="J137" s="1">
        <v>3</v>
      </c>
      <c r="K137" s="1">
        <v>1</v>
      </c>
      <c r="O137" s="1" t="s">
        <v>3279</v>
      </c>
    </row>
    <row r="138" spans="1:16" ht="15.75" customHeight="1">
      <c r="A138" s="1" t="s">
        <v>10</v>
      </c>
      <c r="B138" s="1" t="s">
        <v>654</v>
      </c>
      <c r="C138" s="1" t="s">
        <v>655</v>
      </c>
      <c r="D138" s="1" t="s">
        <v>656</v>
      </c>
      <c r="E138" s="1" t="s">
        <v>657</v>
      </c>
      <c r="F138" s="1" t="s">
        <v>658</v>
      </c>
      <c r="H138" s="1">
        <v>0</v>
      </c>
      <c r="I138" s="1">
        <v>2014</v>
      </c>
      <c r="J138" s="1">
        <v>2014</v>
      </c>
      <c r="K138" s="1">
        <v>15</v>
      </c>
      <c r="O138" s="1" t="s">
        <v>659</v>
      </c>
    </row>
    <row r="139" spans="1:16" ht="15.75" customHeight="1">
      <c r="A139" s="1" t="s">
        <v>463</v>
      </c>
      <c r="B139" s="1" t="s">
        <v>4173</v>
      </c>
      <c r="C139" s="1" t="s">
        <v>4174</v>
      </c>
      <c r="D139" s="1" t="s">
        <v>4175</v>
      </c>
      <c r="E139" s="1" t="s">
        <v>4176</v>
      </c>
      <c r="F139" s="1" t="s">
        <v>4177</v>
      </c>
      <c r="H139" s="1">
        <v>0</v>
      </c>
      <c r="I139" s="1">
        <v>2014</v>
      </c>
    </row>
    <row r="140" spans="1:16" ht="15.75" customHeight="1">
      <c r="A140" s="1" t="s">
        <v>0</v>
      </c>
      <c r="B140" s="1" t="s">
        <v>2055</v>
      </c>
      <c r="C140" s="1" t="s">
        <v>2056</v>
      </c>
      <c r="D140" s="1" t="s">
        <v>2057</v>
      </c>
      <c r="E140" s="1" t="s">
        <v>2058</v>
      </c>
      <c r="F140" s="1" t="s">
        <v>2059</v>
      </c>
      <c r="G140" s="1">
        <v>19</v>
      </c>
      <c r="H140" s="1">
        <v>0</v>
      </c>
      <c r="I140" s="1">
        <v>2014</v>
      </c>
      <c r="J140" s="1" t="s">
        <v>6</v>
      </c>
      <c r="K140" s="1">
        <v>39</v>
      </c>
      <c r="L140" s="1">
        <v>23</v>
      </c>
      <c r="M140" s="1">
        <v>36</v>
      </c>
      <c r="N140" s="1" t="s">
        <v>6</v>
      </c>
      <c r="O140" s="1" t="s">
        <v>6</v>
      </c>
      <c r="P140" s="1" t="s">
        <v>6</v>
      </c>
    </row>
    <row r="141" spans="1:16" ht="15.75" customHeight="1">
      <c r="A141" s="1" t="s">
        <v>10</v>
      </c>
      <c r="B141" s="1" t="s">
        <v>2501</v>
      </c>
      <c r="C141" s="1" t="s">
        <v>2502</v>
      </c>
      <c r="D141" s="1" t="s">
        <v>2503</v>
      </c>
      <c r="E141" s="1" t="s">
        <v>2504</v>
      </c>
      <c r="F141" s="1" t="s">
        <v>2505</v>
      </c>
      <c r="H141" s="1">
        <v>73</v>
      </c>
      <c r="I141" s="1">
        <v>2015</v>
      </c>
      <c r="J141" s="1">
        <v>20</v>
      </c>
      <c r="K141" s="1">
        <v>5</v>
      </c>
      <c r="O141" s="1" t="s">
        <v>2506</v>
      </c>
    </row>
    <row r="142" spans="1:16" ht="15.75" customHeight="1">
      <c r="A142" s="1" t="s">
        <v>0</v>
      </c>
      <c r="B142" s="1" t="s">
        <v>6433</v>
      </c>
      <c r="C142" s="1" t="s">
        <v>6434</v>
      </c>
      <c r="D142" s="1" t="s">
        <v>52</v>
      </c>
      <c r="E142" s="1" t="s">
        <v>6435</v>
      </c>
      <c r="F142" s="1" t="s">
        <v>6436</v>
      </c>
      <c r="G142" s="1">
        <v>109</v>
      </c>
      <c r="H142" s="1">
        <v>62</v>
      </c>
      <c r="I142" s="1">
        <v>2015</v>
      </c>
      <c r="J142" s="1">
        <v>14</v>
      </c>
      <c r="K142" s="1" t="s">
        <v>3604</v>
      </c>
    </row>
    <row r="143" spans="1:16" ht="15.75" customHeight="1">
      <c r="A143" s="1" t="s">
        <v>0</v>
      </c>
      <c r="B143" s="1" t="s">
        <v>5648</v>
      </c>
      <c r="C143" s="1" t="s">
        <v>5649</v>
      </c>
      <c r="D143" s="1" t="s">
        <v>52</v>
      </c>
      <c r="E143" s="1" t="s">
        <v>5650</v>
      </c>
      <c r="F143" s="1" t="s">
        <v>5651</v>
      </c>
      <c r="G143" s="1">
        <v>42</v>
      </c>
      <c r="H143" s="1">
        <v>56</v>
      </c>
      <c r="I143" s="1">
        <v>2015</v>
      </c>
      <c r="J143" s="1">
        <v>14</v>
      </c>
      <c r="K143" s="1" t="s">
        <v>3604</v>
      </c>
    </row>
    <row r="144" spans="1:16" ht="15.75" customHeight="1">
      <c r="A144" s="1" t="s">
        <v>10</v>
      </c>
      <c r="B144" s="1" t="s">
        <v>6322</v>
      </c>
      <c r="C144" s="1" t="s">
        <v>6323</v>
      </c>
      <c r="D144" s="1" t="s">
        <v>2104</v>
      </c>
      <c r="E144" s="1" t="s">
        <v>6324</v>
      </c>
      <c r="F144" s="1" t="s">
        <v>6325</v>
      </c>
      <c r="H144" s="1">
        <v>54</v>
      </c>
      <c r="I144" s="1">
        <v>2015</v>
      </c>
      <c r="J144" s="1">
        <v>41</v>
      </c>
      <c r="K144" s="1" t="s">
        <v>1343</v>
      </c>
      <c r="O144" s="1" t="s">
        <v>6326</v>
      </c>
    </row>
    <row r="145" spans="1:16" ht="15.75" customHeight="1">
      <c r="A145" s="1" t="s">
        <v>10</v>
      </c>
      <c r="B145" s="1" t="s">
        <v>6906</v>
      </c>
      <c r="C145" s="1" t="s">
        <v>6907</v>
      </c>
      <c r="D145" s="1" t="s">
        <v>6908</v>
      </c>
      <c r="E145" s="1" t="s">
        <v>6909</v>
      </c>
      <c r="F145" s="1" t="s">
        <v>6910</v>
      </c>
      <c r="H145" s="1">
        <v>48</v>
      </c>
      <c r="I145" s="1">
        <v>2015</v>
      </c>
      <c r="J145" s="1">
        <v>15</v>
      </c>
      <c r="K145" s="1">
        <v>3</v>
      </c>
      <c r="O145" s="1" t="s">
        <v>6911</v>
      </c>
    </row>
    <row r="146" spans="1:16" ht="15.75" customHeight="1">
      <c r="A146" s="1" t="s">
        <v>10</v>
      </c>
      <c r="B146" s="1" t="s">
        <v>140</v>
      </c>
      <c r="C146" s="1" t="s">
        <v>141</v>
      </c>
      <c r="D146" s="1" t="s">
        <v>142</v>
      </c>
      <c r="E146" s="1" t="s">
        <v>143</v>
      </c>
      <c r="F146" s="1" t="s">
        <v>144</v>
      </c>
      <c r="H146" s="1">
        <v>46</v>
      </c>
      <c r="I146" s="1">
        <v>2015</v>
      </c>
      <c r="J146" s="1">
        <v>50</v>
      </c>
      <c r="K146" s="1">
        <v>11</v>
      </c>
      <c r="O146" s="1" t="s">
        <v>145</v>
      </c>
    </row>
    <row r="147" spans="1:16" ht="15.75" customHeight="1">
      <c r="A147" s="1" t="s">
        <v>0</v>
      </c>
      <c r="B147" s="1" t="s">
        <v>3595</v>
      </c>
      <c r="C147" s="1" t="s">
        <v>3601</v>
      </c>
      <c r="D147" s="1" t="s">
        <v>52</v>
      </c>
      <c r="E147" s="1" t="s">
        <v>3602</v>
      </c>
      <c r="F147" s="1" t="s">
        <v>3603</v>
      </c>
      <c r="G147" s="1">
        <v>42</v>
      </c>
      <c r="H147" s="1">
        <v>45</v>
      </c>
      <c r="I147" s="1">
        <v>2015</v>
      </c>
      <c r="J147" s="1">
        <v>14</v>
      </c>
      <c r="K147" s="1" t="s">
        <v>3604</v>
      </c>
    </row>
    <row r="148" spans="1:16" ht="15.75" customHeight="1">
      <c r="A148" s="1" t="s">
        <v>10</v>
      </c>
      <c r="B148" s="1" t="s">
        <v>1256</v>
      </c>
      <c r="C148" s="1" t="s">
        <v>1257</v>
      </c>
      <c r="D148" s="1" t="s">
        <v>1258</v>
      </c>
      <c r="E148" s="1" t="s">
        <v>1259</v>
      </c>
      <c r="F148" s="1" t="s">
        <v>1260</v>
      </c>
      <c r="H148" s="1">
        <v>38</v>
      </c>
      <c r="I148" s="1">
        <v>2015</v>
      </c>
      <c r="J148" s="1">
        <v>41</v>
      </c>
      <c r="O148" s="1" t="s">
        <v>1261</v>
      </c>
    </row>
    <row r="149" spans="1:16" ht="15.75" customHeight="1">
      <c r="A149" s="1" t="s">
        <v>0</v>
      </c>
      <c r="B149" s="1" t="s">
        <v>5979</v>
      </c>
      <c r="C149" s="1" t="s">
        <v>5980</v>
      </c>
      <c r="D149" s="1" t="s">
        <v>2022</v>
      </c>
      <c r="E149" s="1" t="s">
        <v>5981</v>
      </c>
      <c r="F149" s="1" t="s">
        <v>5982</v>
      </c>
      <c r="G149" s="1">
        <v>39</v>
      </c>
      <c r="H149" s="1">
        <v>33</v>
      </c>
      <c r="I149" s="1">
        <v>2015</v>
      </c>
      <c r="J149" s="1" t="s">
        <v>6</v>
      </c>
      <c r="K149" s="1">
        <v>62</v>
      </c>
      <c r="L149" s="1">
        <v>127</v>
      </c>
      <c r="M149" s="1">
        <v>149</v>
      </c>
      <c r="N149" s="1" t="s">
        <v>6</v>
      </c>
      <c r="O149" s="1" t="s">
        <v>6</v>
      </c>
      <c r="P149" s="1" t="s">
        <v>6</v>
      </c>
    </row>
    <row r="150" spans="1:16" ht="15.75" customHeight="1">
      <c r="A150" s="1" t="s">
        <v>10</v>
      </c>
      <c r="B150" s="1" t="s">
        <v>4539</v>
      </c>
      <c r="C150" s="1" t="s">
        <v>4540</v>
      </c>
      <c r="D150" s="1" t="s">
        <v>4541</v>
      </c>
      <c r="E150" s="1" t="s">
        <v>4542</v>
      </c>
      <c r="F150" s="1" t="s">
        <v>4543</v>
      </c>
      <c r="H150" s="1">
        <v>31</v>
      </c>
      <c r="I150" s="1">
        <v>2015</v>
      </c>
      <c r="J150" s="1">
        <v>15</v>
      </c>
      <c r="K150" s="1">
        <v>3</v>
      </c>
      <c r="O150" s="1" t="s">
        <v>4544</v>
      </c>
    </row>
    <row r="151" spans="1:16" ht="15.75" customHeight="1">
      <c r="A151" s="1" t="s">
        <v>10</v>
      </c>
      <c r="B151" s="1" t="s">
        <v>5133</v>
      </c>
      <c r="C151" s="1" t="s">
        <v>5134</v>
      </c>
      <c r="D151" s="1" t="s">
        <v>5135</v>
      </c>
      <c r="E151" s="1" t="s">
        <v>5136</v>
      </c>
      <c r="F151" s="1" t="s">
        <v>5137</v>
      </c>
      <c r="H151" s="1">
        <v>30</v>
      </c>
      <c r="I151" s="1">
        <v>2015</v>
      </c>
      <c r="J151" s="1">
        <v>44</v>
      </c>
      <c r="K151" s="1">
        <v>1</v>
      </c>
      <c r="O151" s="1" t="s">
        <v>5138</v>
      </c>
    </row>
    <row r="152" spans="1:16" ht="15.75" customHeight="1">
      <c r="A152" s="1" t="s">
        <v>0</v>
      </c>
      <c r="B152" s="1" t="s">
        <v>444</v>
      </c>
      <c r="C152" s="1" t="s">
        <v>445</v>
      </c>
      <c r="D152" s="1" t="s">
        <v>446</v>
      </c>
      <c r="E152" s="1" t="s">
        <v>447</v>
      </c>
      <c r="F152" s="1" t="s">
        <v>448</v>
      </c>
      <c r="G152" s="1">
        <v>64</v>
      </c>
      <c r="H152" s="1">
        <v>30</v>
      </c>
      <c r="I152" s="1">
        <v>2015</v>
      </c>
      <c r="J152" s="1">
        <v>20</v>
      </c>
      <c r="K152" s="1">
        <v>3</v>
      </c>
      <c r="L152" s="1">
        <v>319</v>
      </c>
      <c r="M152" s="1">
        <v>346</v>
      </c>
      <c r="N152" s="1" t="s">
        <v>6</v>
      </c>
      <c r="O152" s="1" t="s">
        <v>449</v>
      </c>
      <c r="P152" s="3" t="str">
        <f>HYPERLINK("http://dx.doi.org/10.1007/s11366-015-9365-z","http://dx.doi.org/10.1007/s11366-015-9365-z")</f>
        <v>http://dx.doi.org/10.1007/s11366-015-9365-z</v>
      </c>
    </row>
    <row r="153" spans="1:16" ht="15.75" customHeight="1">
      <c r="A153" s="1" t="s">
        <v>10</v>
      </c>
      <c r="B153" s="1" t="s">
        <v>3551</v>
      </c>
      <c r="C153" s="1" t="s">
        <v>3552</v>
      </c>
      <c r="D153" s="1" t="s">
        <v>3553</v>
      </c>
      <c r="E153" s="1" t="s">
        <v>3554</v>
      </c>
      <c r="F153" s="1" t="s">
        <v>3555</v>
      </c>
      <c r="H153" s="1">
        <v>22</v>
      </c>
      <c r="I153" s="1">
        <v>2015</v>
      </c>
      <c r="J153" s="1">
        <v>28</v>
      </c>
      <c r="K153" s="1">
        <v>10</v>
      </c>
      <c r="O153" s="1" t="s">
        <v>3556</v>
      </c>
    </row>
    <row r="154" spans="1:16" ht="15.75" customHeight="1">
      <c r="A154" s="1" t="s">
        <v>0</v>
      </c>
      <c r="B154" s="1" t="s">
        <v>3595</v>
      </c>
      <c r="C154" s="1" t="s">
        <v>3596</v>
      </c>
      <c r="D154" s="1" t="s">
        <v>3597</v>
      </c>
      <c r="E154" s="1" t="s">
        <v>3598</v>
      </c>
      <c r="F154" s="1" t="s">
        <v>3599</v>
      </c>
      <c r="G154" s="1">
        <v>40</v>
      </c>
      <c r="H154" s="1">
        <v>21</v>
      </c>
      <c r="I154" s="1">
        <v>2015</v>
      </c>
      <c r="J154" s="1">
        <v>16</v>
      </c>
      <c r="K154" s="1" t="s">
        <v>3600</v>
      </c>
    </row>
    <row r="155" spans="1:16" ht="15.75" customHeight="1">
      <c r="A155" s="1" t="s">
        <v>10</v>
      </c>
      <c r="B155" s="1" t="s">
        <v>4687</v>
      </c>
      <c r="C155" s="1" t="s">
        <v>4688</v>
      </c>
      <c r="D155" s="1" t="s">
        <v>430</v>
      </c>
      <c r="E155" s="1" t="s">
        <v>4689</v>
      </c>
      <c r="F155" s="1" t="s">
        <v>4690</v>
      </c>
      <c r="H155" s="1">
        <v>20</v>
      </c>
      <c r="I155" s="1">
        <v>2015</v>
      </c>
      <c r="J155" s="1">
        <v>17</v>
      </c>
      <c r="K155" s="1">
        <v>2</v>
      </c>
      <c r="O155" s="1" t="s">
        <v>4691</v>
      </c>
    </row>
    <row r="156" spans="1:16" ht="15.75" customHeight="1">
      <c r="A156" s="1" t="s">
        <v>10</v>
      </c>
      <c r="B156" s="1" t="s">
        <v>5031</v>
      </c>
      <c r="C156" s="1" t="s">
        <v>5032</v>
      </c>
      <c r="D156" s="1" t="s">
        <v>946</v>
      </c>
      <c r="E156" s="1" t="s">
        <v>5033</v>
      </c>
      <c r="F156" s="1" t="s">
        <v>5034</v>
      </c>
      <c r="H156" s="1">
        <v>20</v>
      </c>
      <c r="I156" s="1">
        <v>2015</v>
      </c>
      <c r="J156" s="1">
        <v>20</v>
      </c>
      <c r="K156" s="1">
        <v>1</v>
      </c>
      <c r="O156" s="1" t="s">
        <v>5035</v>
      </c>
    </row>
    <row r="157" spans="1:16" ht="15.75" customHeight="1">
      <c r="A157" s="1" t="s">
        <v>10</v>
      </c>
      <c r="B157" s="1" t="s">
        <v>2932</v>
      </c>
      <c r="C157" s="1" t="s">
        <v>2933</v>
      </c>
      <c r="D157" s="1" t="s">
        <v>2934</v>
      </c>
      <c r="E157" s="1" t="s">
        <v>2935</v>
      </c>
      <c r="F157" s="1" t="s">
        <v>2936</v>
      </c>
      <c r="H157" s="1">
        <v>19</v>
      </c>
      <c r="I157" s="1">
        <v>2015</v>
      </c>
      <c r="J157" s="1">
        <v>61</v>
      </c>
      <c r="K157" s="1">
        <v>2</v>
      </c>
      <c r="O157" s="1" t="s">
        <v>2937</v>
      </c>
    </row>
    <row r="158" spans="1:16" ht="15.75" customHeight="1">
      <c r="A158" s="1" t="s">
        <v>10</v>
      </c>
      <c r="B158" s="1" t="s">
        <v>4739</v>
      </c>
      <c r="C158" s="1" t="s">
        <v>4740</v>
      </c>
      <c r="D158" s="1" t="s">
        <v>4741</v>
      </c>
      <c r="F158" s="1" t="s">
        <v>4742</v>
      </c>
      <c r="H158" s="1">
        <v>16</v>
      </c>
      <c r="I158" s="1">
        <v>2015</v>
      </c>
      <c r="J158" s="1">
        <v>71</v>
      </c>
      <c r="K158" s="1">
        <v>2</v>
      </c>
      <c r="O158" s="1" t="s">
        <v>4743</v>
      </c>
    </row>
    <row r="159" spans="1:16" ht="15.75" customHeight="1">
      <c r="A159" s="1" t="s">
        <v>0</v>
      </c>
      <c r="B159" s="1" t="s">
        <v>6220</v>
      </c>
      <c r="C159" s="1" t="s">
        <v>6221</v>
      </c>
      <c r="D159" s="1" t="s">
        <v>195</v>
      </c>
      <c r="E159" s="1" t="s">
        <v>6222</v>
      </c>
      <c r="F159" s="1" t="s">
        <v>6223</v>
      </c>
      <c r="G159" s="1">
        <v>35</v>
      </c>
      <c r="H159" s="1">
        <v>15</v>
      </c>
      <c r="I159" s="1">
        <v>2015</v>
      </c>
      <c r="J159" s="1">
        <v>47</v>
      </c>
      <c r="K159" s="1">
        <v>4</v>
      </c>
      <c r="L159" s="1">
        <v>669</v>
      </c>
      <c r="M159" s="1">
        <v>678</v>
      </c>
      <c r="N159" s="1" t="s">
        <v>6</v>
      </c>
      <c r="O159" s="1" t="s">
        <v>6224</v>
      </c>
      <c r="P159" s="3" t="str">
        <f>HYPERLINK("http://dx.doi.org/10.4067/S0717-73562015005000035","http://dx.doi.org/10.4067/S0717-73562015005000035")</f>
        <v>http://dx.doi.org/10.4067/S0717-73562015005000035</v>
      </c>
    </row>
    <row r="160" spans="1:16" ht="15.75" customHeight="1">
      <c r="A160" s="1" t="s">
        <v>0</v>
      </c>
      <c r="B160" s="1" t="s">
        <v>3998</v>
      </c>
      <c r="C160" s="1" t="s">
        <v>3999</v>
      </c>
      <c r="D160" s="1" t="s">
        <v>52</v>
      </c>
      <c r="E160" s="1" t="s">
        <v>4000</v>
      </c>
      <c r="F160" s="1" t="s">
        <v>4001</v>
      </c>
      <c r="G160" s="1">
        <v>31</v>
      </c>
      <c r="H160" s="1">
        <v>15</v>
      </c>
      <c r="I160" s="1">
        <v>2015</v>
      </c>
      <c r="J160" s="1">
        <v>14</v>
      </c>
      <c r="K160" s="1" t="s">
        <v>3604</v>
      </c>
    </row>
    <row r="161" spans="1:16" ht="15.75" customHeight="1">
      <c r="A161" s="1" t="s">
        <v>10</v>
      </c>
      <c r="B161" s="1" t="s">
        <v>2060</v>
      </c>
      <c r="C161" s="1" t="s">
        <v>2061</v>
      </c>
      <c r="D161" s="1" t="s">
        <v>2062</v>
      </c>
      <c r="E161" s="1" t="s">
        <v>2063</v>
      </c>
      <c r="F161" s="1" t="s">
        <v>2064</v>
      </c>
      <c r="H161" s="1">
        <v>14</v>
      </c>
      <c r="I161" s="1">
        <v>2015</v>
      </c>
      <c r="J161" s="1">
        <v>9</v>
      </c>
      <c r="K161" s="1">
        <v>1</v>
      </c>
    </row>
    <row r="162" spans="1:16" ht="15.75" customHeight="1">
      <c r="A162" s="1" t="s">
        <v>10</v>
      </c>
      <c r="B162" s="1" t="s">
        <v>3876</v>
      </c>
      <c r="C162" s="1" t="s">
        <v>3877</v>
      </c>
      <c r="D162" s="1" t="s">
        <v>3878</v>
      </c>
      <c r="E162" s="1" t="s">
        <v>3879</v>
      </c>
      <c r="F162" s="1" t="s">
        <v>3880</v>
      </c>
      <c r="H162" s="1">
        <v>14</v>
      </c>
      <c r="I162" s="1">
        <v>2015</v>
      </c>
      <c r="J162" s="1">
        <v>23</v>
      </c>
      <c r="K162" s="1">
        <v>55</v>
      </c>
      <c r="O162" s="1" t="s">
        <v>3881</v>
      </c>
    </row>
    <row r="163" spans="1:16" ht="15.75" customHeight="1">
      <c r="A163" s="1" t="s">
        <v>10</v>
      </c>
      <c r="B163" s="1" t="s">
        <v>1884</v>
      </c>
      <c r="C163" s="1" t="s">
        <v>1885</v>
      </c>
      <c r="D163" s="1" t="s">
        <v>1886</v>
      </c>
      <c r="E163" s="1" t="s">
        <v>1887</v>
      </c>
      <c r="F163" s="1" t="s">
        <v>1888</v>
      </c>
      <c r="H163" s="1">
        <v>13</v>
      </c>
      <c r="I163" s="1">
        <v>2015</v>
      </c>
      <c r="J163" s="1">
        <v>30</v>
      </c>
      <c r="K163" s="1">
        <v>6</v>
      </c>
      <c r="O163" s="1" t="s">
        <v>1889</v>
      </c>
    </row>
    <row r="164" spans="1:16" ht="15.75" customHeight="1">
      <c r="A164" s="1" t="s">
        <v>10</v>
      </c>
      <c r="B164" s="1" t="s">
        <v>3262</v>
      </c>
      <c r="C164" s="1" t="s">
        <v>3263</v>
      </c>
      <c r="D164" s="1" t="s">
        <v>3264</v>
      </c>
      <c r="E164" s="1" t="s">
        <v>3265</v>
      </c>
      <c r="F164" s="1" t="s">
        <v>3266</v>
      </c>
      <c r="H164" s="1">
        <v>12</v>
      </c>
      <c r="I164" s="1">
        <v>2015</v>
      </c>
      <c r="J164" s="1">
        <v>14</v>
      </c>
      <c r="K164" s="1">
        <v>3</v>
      </c>
      <c r="O164" s="1" t="s">
        <v>3267</v>
      </c>
    </row>
    <row r="165" spans="1:16" ht="15.75" customHeight="1">
      <c r="A165" s="1" t="s">
        <v>10</v>
      </c>
      <c r="B165" s="1" t="s">
        <v>3068</v>
      </c>
      <c r="C165" s="1" t="s">
        <v>3069</v>
      </c>
      <c r="D165" s="1" t="s">
        <v>3070</v>
      </c>
      <c r="E165" s="1" t="s">
        <v>3071</v>
      </c>
      <c r="F165" s="1" t="s">
        <v>3072</v>
      </c>
      <c r="H165" s="1">
        <v>12</v>
      </c>
      <c r="I165" s="1">
        <v>2015</v>
      </c>
      <c r="J165" s="1">
        <v>193</v>
      </c>
      <c r="K165" s="1">
        <v>2</v>
      </c>
      <c r="O165" s="1" t="s">
        <v>3073</v>
      </c>
    </row>
    <row r="166" spans="1:16" ht="15.75" customHeight="1">
      <c r="A166" s="1" t="s">
        <v>0</v>
      </c>
      <c r="B166" s="1" t="s">
        <v>3143</v>
      </c>
      <c r="C166" s="1" t="s">
        <v>3144</v>
      </c>
      <c r="D166" s="1" t="s">
        <v>2022</v>
      </c>
      <c r="E166" s="1" t="s">
        <v>3145</v>
      </c>
      <c r="F166" s="1" t="s">
        <v>3146</v>
      </c>
      <c r="G166" s="1">
        <v>87</v>
      </c>
      <c r="H166" s="1">
        <v>12</v>
      </c>
      <c r="I166" s="1">
        <v>2015</v>
      </c>
      <c r="J166" s="1" t="s">
        <v>6</v>
      </c>
      <c r="K166" s="1">
        <v>61</v>
      </c>
      <c r="L166" s="1">
        <v>107</v>
      </c>
      <c r="M166" s="1">
        <v>133</v>
      </c>
      <c r="N166" s="1" t="s">
        <v>6</v>
      </c>
      <c r="O166" s="1" t="s">
        <v>6</v>
      </c>
      <c r="P166" s="1" t="s">
        <v>6</v>
      </c>
    </row>
    <row r="167" spans="1:16" ht="15.75" customHeight="1">
      <c r="A167" s="1" t="s">
        <v>0</v>
      </c>
      <c r="B167" s="1" t="s">
        <v>961</v>
      </c>
      <c r="C167" s="1" t="s">
        <v>962</v>
      </c>
      <c r="D167" s="1" t="s">
        <v>963</v>
      </c>
      <c r="E167" s="8" t="s">
        <v>7113</v>
      </c>
      <c r="F167" s="1" t="s">
        <v>964</v>
      </c>
      <c r="G167" s="1">
        <v>46</v>
      </c>
      <c r="H167" s="1">
        <v>11</v>
      </c>
      <c r="I167" s="1">
        <v>2015</v>
      </c>
      <c r="J167" s="1">
        <v>53</v>
      </c>
      <c r="K167" s="1">
        <v>2</v>
      </c>
      <c r="L167" s="1">
        <v>303</v>
      </c>
      <c r="M167" s="1">
        <v>320</v>
      </c>
      <c r="N167" s="1" t="s">
        <v>6</v>
      </c>
      <c r="O167" s="1" t="s">
        <v>965</v>
      </c>
      <c r="P167" s="3" t="str">
        <f>HYPERLINK("http://dx.doi.org/10.1111/imig.12077","http://dx.doi.org/10.1111/imig.12077")</f>
        <v>http://dx.doi.org/10.1111/imig.12077</v>
      </c>
    </row>
    <row r="168" spans="1:16" ht="15.75" customHeight="1">
      <c r="A168" s="1" t="s">
        <v>10</v>
      </c>
      <c r="B168" s="1" t="s">
        <v>583</v>
      </c>
      <c r="C168" s="1" t="s">
        <v>584</v>
      </c>
      <c r="D168" s="1" t="s">
        <v>585</v>
      </c>
      <c r="E168" s="1" t="s">
        <v>586</v>
      </c>
      <c r="F168" s="1" t="s">
        <v>587</v>
      </c>
      <c r="H168" s="1">
        <v>11</v>
      </c>
      <c r="I168" s="1">
        <v>2015</v>
      </c>
      <c r="J168" s="1">
        <v>53</v>
      </c>
      <c r="K168" s="1">
        <v>2</v>
      </c>
      <c r="O168" s="1" t="s">
        <v>588</v>
      </c>
    </row>
    <row r="169" spans="1:16" ht="15.75" customHeight="1">
      <c r="A169" s="1" t="s">
        <v>10</v>
      </c>
      <c r="B169" s="1" t="s">
        <v>6447</v>
      </c>
      <c r="C169" s="1" t="s">
        <v>6448</v>
      </c>
      <c r="D169" s="1" t="s">
        <v>6081</v>
      </c>
      <c r="E169" s="1" t="s">
        <v>6449</v>
      </c>
      <c r="F169" s="1" t="s">
        <v>6450</v>
      </c>
      <c r="H169" s="1">
        <v>10</v>
      </c>
      <c r="I169" s="1">
        <v>2015</v>
      </c>
      <c r="J169" s="1">
        <v>47</v>
      </c>
      <c r="O169" s="1" t="s">
        <v>6451</v>
      </c>
    </row>
    <row r="170" spans="1:16" ht="15.75" customHeight="1">
      <c r="A170" s="1" t="s">
        <v>0</v>
      </c>
      <c r="B170" s="1" t="s">
        <v>1660</v>
      </c>
      <c r="C170" s="1" t="s">
        <v>1661</v>
      </c>
      <c r="D170" s="1" t="s">
        <v>1662</v>
      </c>
      <c r="E170" s="1" t="s">
        <v>1663</v>
      </c>
      <c r="F170" s="1" t="s">
        <v>1664</v>
      </c>
      <c r="G170" s="1">
        <v>33</v>
      </c>
      <c r="H170" s="1">
        <v>10</v>
      </c>
      <c r="I170" s="1">
        <v>2015</v>
      </c>
      <c r="J170" s="1">
        <v>81</v>
      </c>
      <c r="K170" s="1">
        <v>1</v>
      </c>
      <c r="L170" s="1">
        <v>115</v>
      </c>
      <c r="M170" s="1">
        <v>155</v>
      </c>
      <c r="N170" s="1" t="s">
        <v>6</v>
      </c>
      <c r="O170" s="1" t="s">
        <v>1665</v>
      </c>
      <c r="P170" s="3" t="str">
        <f>HYPERLINK("http://dx.doi.org/10.1017/dem.2014.17","http://dx.doi.org/10.1017/dem.2014.17")</f>
        <v>http://dx.doi.org/10.1017/dem.2014.17</v>
      </c>
    </row>
    <row r="171" spans="1:16" ht="15.75" customHeight="1">
      <c r="A171" s="1" t="s">
        <v>10</v>
      </c>
      <c r="B171" s="1" t="s">
        <v>6687</v>
      </c>
      <c r="C171" s="1" t="s">
        <v>6688</v>
      </c>
      <c r="D171" s="1" t="s">
        <v>596</v>
      </c>
      <c r="E171" s="1" t="s">
        <v>6689</v>
      </c>
      <c r="F171" s="1" t="s">
        <v>6690</v>
      </c>
      <c r="H171" s="1">
        <v>9</v>
      </c>
      <c r="I171" s="1">
        <v>2015</v>
      </c>
      <c r="J171" s="1">
        <v>38</v>
      </c>
      <c r="K171" s="1">
        <v>12</v>
      </c>
      <c r="O171" s="1" t="s">
        <v>6691</v>
      </c>
    </row>
    <row r="172" spans="1:16" ht="15.75" customHeight="1">
      <c r="A172" s="1" t="s">
        <v>10</v>
      </c>
      <c r="B172" s="1" t="s">
        <v>6662</v>
      </c>
      <c r="C172" s="1" t="s">
        <v>6663</v>
      </c>
      <c r="D172" s="1" t="s">
        <v>6664</v>
      </c>
      <c r="E172" s="1" t="s">
        <v>6665</v>
      </c>
      <c r="F172" s="1" t="s">
        <v>6666</v>
      </c>
      <c r="H172" s="1">
        <v>8</v>
      </c>
      <c r="I172" s="1">
        <v>2015</v>
      </c>
      <c r="J172" s="1">
        <v>31</v>
      </c>
      <c r="K172" s="1">
        <v>1</v>
      </c>
    </row>
    <row r="173" spans="1:16" ht="15.75" customHeight="1">
      <c r="A173" s="1" t="s">
        <v>10</v>
      </c>
      <c r="B173" s="1" t="s">
        <v>3545</v>
      </c>
      <c r="C173" s="1" t="s">
        <v>3546</v>
      </c>
      <c r="D173" s="2" t="s">
        <v>3547</v>
      </c>
      <c r="E173" s="1" t="s">
        <v>3548</v>
      </c>
      <c r="F173" s="1" t="s">
        <v>3549</v>
      </c>
      <c r="H173" s="1">
        <v>8</v>
      </c>
      <c r="I173" s="1">
        <v>2015</v>
      </c>
      <c r="J173" s="1">
        <v>2015</v>
      </c>
      <c r="K173" s="1">
        <v>28</v>
      </c>
      <c r="O173" s="1" t="s">
        <v>3550</v>
      </c>
    </row>
    <row r="174" spans="1:16" ht="15.75" customHeight="1">
      <c r="A174" s="1" t="s">
        <v>10</v>
      </c>
      <c r="B174" s="1" t="s">
        <v>1982</v>
      </c>
      <c r="C174" s="1" t="s">
        <v>1983</v>
      </c>
      <c r="D174" s="1" t="s">
        <v>1726</v>
      </c>
      <c r="E174" s="1" t="s">
        <v>1984</v>
      </c>
      <c r="F174" s="1" t="s">
        <v>1985</v>
      </c>
      <c r="H174" s="1">
        <v>8</v>
      </c>
      <c r="I174" s="1">
        <v>2015</v>
      </c>
      <c r="J174" s="1">
        <v>59</v>
      </c>
      <c r="O174" s="1" t="s">
        <v>1986</v>
      </c>
    </row>
    <row r="175" spans="1:16" ht="15.75" customHeight="1">
      <c r="A175" s="1" t="s">
        <v>10</v>
      </c>
      <c r="B175" s="1" t="s">
        <v>1055</v>
      </c>
      <c r="C175" s="1" t="s">
        <v>1056</v>
      </c>
      <c r="D175" s="1" t="s">
        <v>1057</v>
      </c>
      <c r="E175" s="1" t="s">
        <v>1058</v>
      </c>
      <c r="F175" s="1" t="s">
        <v>1059</v>
      </c>
      <c r="H175" s="1">
        <v>7</v>
      </c>
      <c r="I175" s="1">
        <v>2015</v>
      </c>
      <c r="J175" s="1">
        <v>24</v>
      </c>
      <c r="K175" s="1">
        <v>9</v>
      </c>
      <c r="O175" s="1" t="s">
        <v>1060</v>
      </c>
    </row>
    <row r="176" spans="1:16" ht="15.75" customHeight="1">
      <c r="A176" s="1" t="s">
        <v>10</v>
      </c>
      <c r="B176" s="1" t="s">
        <v>4570</v>
      </c>
      <c r="C176" s="1" t="s">
        <v>4571</v>
      </c>
      <c r="D176" s="1" t="s">
        <v>727</v>
      </c>
      <c r="E176" s="1" t="s">
        <v>4572</v>
      </c>
      <c r="F176" s="1" t="s">
        <v>4573</v>
      </c>
      <c r="H176" s="1">
        <v>5</v>
      </c>
      <c r="I176" s="1">
        <v>2015</v>
      </c>
      <c r="J176" s="1">
        <v>21</v>
      </c>
      <c r="K176" s="1">
        <v>1</v>
      </c>
    </row>
    <row r="177" spans="1:16" ht="15.75" customHeight="1">
      <c r="A177" s="1" t="s">
        <v>0</v>
      </c>
      <c r="B177" s="1" t="s">
        <v>6780</v>
      </c>
      <c r="C177" s="1" t="s">
        <v>6781</v>
      </c>
      <c r="D177" s="1" t="s">
        <v>6782</v>
      </c>
      <c r="E177" s="1" t="s">
        <v>6783</v>
      </c>
      <c r="F177" s="1" t="s">
        <v>6784</v>
      </c>
      <c r="G177" s="1">
        <v>29</v>
      </c>
      <c r="H177" s="1">
        <v>5</v>
      </c>
      <c r="I177" s="1">
        <v>2015</v>
      </c>
      <c r="J177" s="1">
        <v>23</v>
      </c>
      <c r="K177" s="1" t="s">
        <v>955</v>
      </c>
    </row>
    <row r="178" spans="1:16" ht="15.75" customHeight="1">
      <c r="A178" s="1" t="s">
        <v>0</v>
      </c>
      <c r="B178" s="1" t="s">
        <v>3949</v>
      </c>
      <c r="C178" s="1" t="s">
        <v>3950</v>
      </c>
      <c r="D178" s="1" t="s">
        <v>3951</v>
      </c>
      <c r="E178" s="1" t="s">
        <v>3952</v>
      </c>
      <c r="F178" s="1" t="s">
        <v>3953</v>
      </c>
      <c r="G178" s="1">
        <v>44</v>
      </c>
      <c r="H178" s="1">
        <v>4</v>
      </c>
      <c r="I178" s="1">
        <v>2015</v>
      </c>
      <c r="J178" s="1">
        <v>103</v>
      </c>
      <c r="K178" s="1">
        <v>3</v>
      </c>
      <c r="L178" s="1" t="s">
        <v>6</v>
      </c>
      <c r="M178" s="1" t="s">
        <v>6</v>
      </c>
      <c r="N178" s="1" t="s">
        <v>6</v>
      </c>
      <c r="O178" s="1" t="s">
        <v>3954</v>
      </c>
      <c r="P178" s="3" t="str">
        <f>HYPERLINK("http://dx.doi.org/10.4000/rga.2988","http://dx.doi.org/10.4000/rga.2988")</f>
        <v>http://dx.doi.org/10.4000/rga.2988</v>
      </c>
    </row>
    <row r="179" spans="1:16" ht="15.75" customHeight="1">
      <c r="A179" s="1" t="s">
        <v>0</v>
      </c>
      <c r="B179" s="1" t="s">
        <v>5823</v>
      </c>
      <c r="C179" s="1" t="s">
        <v>5828</v>
      </c>
      <c r="D179" s="1" t="s">
        <v>5829</v>
      </c>
      <c r="E179" s="1" t="s">
        <v>5830</v>
      </c>
      <c r="F179" s="1" t="s">
        <v>5831</v>
      </c>
      <c r="G179" s="1">
        <v>47</v>
      </c>
      <c r="H179" s="1">
        <v>4</v>
      </c>
      <c r="I179" s="1">
        <v>2015</v>
      </c>
      <c r="J179" s="1">
        <v>94</v>
      </c>
      <c r="K179" s="1" t="s">
        <v>61</v>
      </c>
    </row>
    <row r="180" spans="1:16" ht="15.75" customHeight="1">
      <c r="A180" s="1" t="s">
        <v>0</v>
      </c>
      <c r="B180" s="1" t="s">
        <v>6667</v>
      </c>
      <c r="C180" s="2" t="s">
        <v>6668</v>
      </c>
      <c r="D180" s="1" t="s">
        <v>696</v>
      </c>
      <c r="E180" s="1" t="s">
        <v>6669</v>
      </c>
      <c r="F180" s="1" t="s">
        <v>6670</v>
      </c>
      <c r="G180" s="1">
        <v>55</v>
      </c>
      <c r="H180" s="1">
        <v>4</v>
      </c>
      <c r="I180" s="1">
        <v>2015</v>
      </c>
      <c r="J180" s="1">
        <v>14</v>
      </c>
      <c r="K180" s="1">
        <v>5</v>
      </c>
      <c r="L180" s="1">
        <v>1667</v>
      </c>
      <c r="M180" s="1">
        <v>1679</v>
      </c>
      <c r="N180" s="1" t="s">
        <v>6</v>
      </c>
      <c r="O180" s="1" t="s">
        <v>6671</v>
      </c>
      <c r="P180" s="3" t="str">
        <f>HYPERLINK("http://dx.doi.org/10.11144/Javeriana.up14-5.grie","http://dx.doi.org/10.11144/Javeriana.up14-5.grie")</f>
        <v>http://dx.doi.org/10.11144/Javeriana.up14-5.grie</v>
      </c>
    </row>
    <row r="181" spans="1:16" ht="15.75" customHeight="1">
      <c r="A181" s="1" t="s">
        <v>0</v>
      </c>
      <c r="B181" s="1" t="s">
        <v>5059</v>
      </c>
      <c r="C181" s="1" t="s">
        <v>5060</v>
      </c>
      <c r="D181" s="1" t="s">
        <v>4677</v>
      </c>
      <c r="E181" s="1" t="s">
        <v>5061</v>
      </c>
      <c r="F181" s="1" t="s">
        <v>5062</v>
      </c>
      <c r="G181" s="1">
        <v>27</v>
      </c>
      <c r="H181" s="1">
        <v>4</v>
      </c>
      <c r="I181" s="1">
        <v>2015</v>
      </c>
      <c r="K181" s="1" t="s">
        <v>5063</v>
      </c>
    </row>
    <row r="182" spans="1:16" ht="15.75" customHeight="1">
      <c r="A182" s="1" t="s">
        <v>0</v>
      </c>
      <c r="B182" s="1" t="s">
        <v>1043</v>
      </c>
      <c r="C182" s="1" t="s">
        <v>1044</v>
      </c>
      <c r="D182" s="1" t="s">
        <v>1045</v>
      </c>
      <c r="E182" s="1" t="s">
        <v>1046</v>
      </c>
      <c r="F182" s="1" t="s">
        <v>1047</v>
      </c>
      <c r="G182" s="1">
        <v>48</v>
      </c>
      <c r="H182" s="1">
        <v>3</v>
      </c>
      <c r="I182" s="1">
        <v>2015</v>
      </c>
      <c r="J182" s="1">
        <v>43</v>
      </c>
      <c r="K182" s="1">
        <v>6</v>
      </c>
      <c r="L182" s="1">
        <v>1021</v>
      </c>
      <c r="M182" s="1">
        <v>1034</v>
      </c>
      <c r="N182" s="1" t="s">
        <v>6</v>
      </c>
      <c r="O182" s="1" t="s">
        <v>1048</v>
      </c>
      <c r="P182" s="3" t="str">
        <f>HYPERLINK("http://dx.doi.org/10.2224/sbp.2015.43.6.1021","http://dx.doi.org/10.2224/sbp.2015.43.6.1021")</f>
        <v>http://dx.doi.org/10.2224/sbp.2015.43.6.1021</v>
      </c>
    </row>
    <row r="183" spans="1:16" ht="15.75" customHeight="1">
      <c r="A183" s="1" t="s">
        <v>0</v>
      </c>
      <c r="B183" s="1" t="s">
        <v>4377</v>
      </c>
      <c r="C183" s="1" t="s">
        <v>4378</v>
      </c>
      <c r="D183" s="1" t="s">
        <v>4379</v>
      </c>
      <c r="E183" s="1" t="s">
        <v>4380</v>
      </c>
      <c r="F183" s="1" t="s">
        <v>4381</v>
      </c>
      <c r="G183" s="1">
        <v>54</v>
      </c>
      <c r="H183" s="1">
        <v>3</v>
      </c>
      <c r="I183" s="1">
        <v>2015</v>
      </c>
      <c r="J183" s="1">
        <v>42</v>
      </c>
      <c r="K183" s="1" t="s">
        <v>6</v>
      </c>
      <c r="L183" s="1">
        <v>123</v>
      </c>
      <c r="M183" s="1">
        <v>135</v>
      </c>
      <c r="N183" s="1" t="s">
        <v>6</v>
      </c>
      <c r="O183" s="1" t="s">
        <v>4382</v>
      </c>
      <c r="P183" s="3" t="str">
        <f>HYPERLINK("http://dx.doi.org/10.1016/j.rssm.2015.09.003","http://dx.doi.org/10.1016/j.rssm.2015.09.003")</f>
        <v>http://dx.doi.org/10.1016/j.rssm.2015.09.003</v>
      </c>
    </row>
    <row r="184" spans="1:16" ht="15.75" customHeight="1">
      <c r="A184" s="1" t="s">
        <v>0</v>
      </c>
      <c r="B184" s="1" t="s">
        <v>4002</v>
      </c>
      <c r="C184" s="1" t="s">
        <v>4003</v>
      </c>
      <c r="D184" s="1" t="s">
        <v>4004</v>
      </c>
      <c r="E184" s="8" t="s">
        <v>7123</v>
      </c>
      <c r="F184" s="1" t="s">
        <v>4005</v>
      </c>
      <c r="G184" s="1">
        <v>74</v>
      </c>
      <c r="H184" s="1">
        <v>2</v>
      </c>
      <c r="I184" s="1">
        <v>2015</v>
      </c>
      <c r="J184" s="1" t="s">
        <v>6</v>
      </c>
      <c r="K184" s="1">
        <v>25</v>
      </c>
      <c r="L184" s="1">
        <v>105</v>
      </c>
      <c r="M184" s="1" t="s">
        <v>1395</v>
      </c>
      <c r="N184" s="1" t="s">
        <v>6</v>
      </c>
      <c r="O184" s="1" t="s">
        <v>6</v>
      </c>
      <c r="P184" s="1" t="s">
        <v>6</v>
      </c>
    </row>
    <row r="185" spans="1:16" ht="15.75" customHeight="1">
      <c r="A185" s="1" t="s">
        <v>0</v>
      </c>
      <c r="B185" s="1" t="s">
        <v>6638</v>
      </c>
      <c r="C185" s="1" t="s">
        <v>6639</v>
      </c>
      <c r="D185" s="1" t="s">
        <v>52</v>
      </c>
      <c r="E185" s="1" t="s">
        <v>6640</v>
      </c>
      <c r="F185" s="1" t="s">
        <v>6641</v>
      </c>
      <c r="G185" s="1">
        <v>26</v>
      </c>
      <c r="H185" s="1">
        <v>2</v>
      </c>
      <c r="I185" s="1">
        <v>2015</v>
      </c>
      <c r="J185" s="1">
        <v>14</v>
      </c>
      <c r="K185" s="1" t="s">
        <v>3604</v>
      </c>
    </row>
    <row r="186" spans="1:16" ht="15.75" customHeight="1">
      <c r="A186" s="1" t="s">
        <v>10</v>
      </c>
      <c r="B186" s="1" t="s">
        <v>1845</v>
      </c>
      <c r="C186" s="1" t="s">
        <v>1846</v>
      </c>
      <c r="D186" s="1" t="s">
        <v>1847</v>
      </c>
      <c r="F186" s="1" t="s">
        <v>1848</v>
      </c>
      <c r="H186" s="1">
        <v>2</v>
      </c>
      <c r="I186" s="1">
        <v>2015</v>
      </c>
      <c r="J186" s="1">
        <v>31</v>
      </c>
      <c r="K186" s="1">
        <v>2</v>
      </c>
    </row>
    <row r="187" spans="1:16" ht="15.75" customHeight="1">
      <c r="A187" s="1" t="s">
        <v>463</v>
      </c>
      <c r="B187" s="1" t="s">
        <v>1741</v>
      </c>
      <c r="C187" s="1" t="s">
        <v>1742</v>
      </c>
      <c r="D187" s="1" t="s">
        <v>1743</v>
      </c>
      <c r="E187" s="1" t="s">
        <v>1744</v>
      </c>
      <c r="F187" s="1" t="s">
        <v>1745</v>
      </c>
      <c r="H187" s="1">
        <v>1</v>
      </c>
      <c r="I187" s="1">
        <v>2015</v>
      </c>
      <c r="O187" s="1" t="s">
        <v>1746</v>
      </c>
    </row>
    <row r="188" spans="1:16" ht="15.75" customHeight="1">
      <c r="A188" s="1" t="s">
        <v>10</v>
      </c>
      <c r="B188" s="1" t="s">
        <v>1942</v>
      </c>
      <c r="C188" s="1" t="s">
        <v>1943</v>
      </c>
      <c r="D188" s="1" t="s">
        <v>1528</v>
      </c>
      <c r="E188" s="1" t="s">
        <v>1944</v>
      </c>
      <c r="F188" s="1" t="s">
        <v>1945</v>
      </c>
      <c r="H188" s="1">
        <v>1</v>
      </c>
      <c r="I188" s="1">
        <v>2015</v>
      </c>
      <c r="J188" s="1">
        <v>2015</v>
      </c>
      <c r="K188" s="1">
        <v>22</v>
      </c>
      <c r="O188" s="1" t="s">
        <v>1946</v>
      </c>
    </row>
    <row r="189" spans="1:16" ht="15.75" customHeight="1">
      <c r="A189" s="1" t="s">
        <v>0</v>
      </c>
      <c r="B189" s="1" t="s">
        <v>5777</v>
      </c>
      <c r="C189" s="1" t="s">
        <v>5778</v>
      </c>
      <c r="D189" s="1" t="s">
        <v>1021</v>
      </c>
      <c r="E189" s="1" t="s">
        <v>5779</v>
      </c>
      <c r="F189" s="1" t="s">
        <v>5780</v>
      </c>
      <c r="G189" s="1">
        <v>22</v>
      </c>
      <c r="H189" s="1">
        <v>1</v>
      </c>
      <c r="I189" s="1">
        <v>2015</v>
      </c>
      <c r="J189" s="1" t="s">
        <v>6</v>
      </c>
      <c r="K189" s="1">
        <v>512</v>
      </c>
      <c r="L189" s="1">
        <v>113</v>
      </c>
      <c r="M189" s="1">
        <v>136</v>
      </c>
      <c r="N189" s="1" t="s">
        <v>6</v>
      </c>
      <c r="O189" s="1" t="s">
        <v>6</v>
      </c>
      <c r="P189" s="1" t="s">
        <v>6</v>
      </c>
    </row>
    <row r="190" spans="1:16" ht="15.75" customHeight="1">
      <c r="A190" s="1" t="s">
        <v>10</v>
      </c>
      <c r="B190" s="1" t="s">
        <v>3063</v>
      </c>
      <c r="C190" s="1" t="s">
        <v>3064</v>
      </c>
      <c r="D190" s="1" t="s">
        <v>792</v>
      </c>
      <c r="E190" s="1" t="s">
        <v>3065</v>
      </c>
      <c r="F190" s="1" t="s">
        <v>3066</v>
      </c>
      <c r="H190" s="1">
        <v>1</v>
      </c>
      <c r="I190" s="1">
        <v>2015</v>
      </c>
      <c r="J190" s="1">
        <v>2015</v>
      </c>
      <c r="K190" s="1">
        <v>52</v>
      </c>
      <c r="O190" s="1" t="s">
        <v>3067</v>
      </c>
    </row>
    <row r="191" spans="1:16" ht="15.75" customHeight="1">
      <c r="A191" s="1" t="s">
        <v>10</v>
      </c>
      <c r="B191" s="1" t="s">
        <v>1818</v>
      </c>
      <c r="C191" s="1" t="s">
        <v>1819</v>
      </c>
      <c r="D191" s="1" t="s">
        <v>1820</v>
      </c>
      <c r="E191" s="1" t="s">
        <v>1821</v>
      </c>
      <c r="F191" s="1" t="s">
        <v>1822</v>
      </c>
      <c r="H191" s="1">
        <v>1</v>
      </c>
      <c r="I191" s="1">
        <v>2015</v>
      </c>
      <c r="J191" s="1">
        <v>18</v>
      </c>
      <c r="K191" s="1">
        <v>1</v>
      </c>
    </row>
    <row r="192" spans="1:16" ht="15.75" customHeight="1">
      <c r="A192" s="1" t="s">
        <v>0</v>
      </c>
      <c r="B192" s="1" t="s">
        <v>3706</v>
      </c>
      <c r="C192" s="1" t="s">
        <v>3707</v>
      </c>
      <c r="D192" s="1" t="s">
        <v>3708</v>
      </c>
      <c r="E192" s="1" t="s">
        <v>3709</v>
      </c>
      <c r="F192" s="1" t="s">
        <v>3710</v>
      </c>
      <c r="G192" s="1">
        <v>13</v>
      </c>
      <c r="H192" s="1">
        <v>1</v>
      </c>
      <c r="I192" s="1">
        <v>2015</v>
      </c>
      <c r="J192" s="1">
        <v>12</v>
      </c>
      <c r="K192" s="1" t="s">
        <v>61</v>
      </c>
    </row>
    <row r="193" spans="1:16" ht="15.75" customHeight="1">
      <c r="A193" s="1" t="s">
        <v>0</v>
      </c>
      <c r="B193" s="1" t="s">
        <v>6350</v>
      </c>
      <c r="C193" s="1" t="s">
        <v>6351</v>
      </c>
      <c r="D193" s="1" t="s">
        <v>201</v>
      </c>
      <c r="E193" s="1" t="s">
        <v>6352</v>
      </c>
      <c r="F193" s="1" t="s">
        <v>6353</v>
      </c>
      <c r="G193" s="1">
        <v>82</v>
      </c>
      <c r="H193" s="1">
        <v>0</v>
      </c>
      <c r="I193" s="1">
        <v>2015</v>
      </c>
      <c r="J193" s="1" t="s">
        <v>6</v>
      </c>
      <c r="K193" s="1">
        <v>50</v>
      </c>
      <c r="L193" s="1">
        <v>195</v>
      </c>
      <c r="M193" s="1">
        <v>213</v>
      </c>
      <c r="N193" s="1" t="s">
        <v>6</v>
      </c>
      <c r="O193" s="1" t="s">
        <v>6</v>
      </c>
      <c r="P193" s="1" t="s">
        <v>6</v>
      </c>
    </row>
    <row r="194" spans="1:16" ht="15.75" customHeight="1">
      <c r="A194" s="1" t="s">
        <v>10</v>
      </c>
      <c r="B194" s="1" t="s">
        <v>6492</v>
      </c>
      <c r="C194" s="1" t="s">
        <v>6493</v>
      </c>
      <c r="D194" s="1" t="s">
        <v>6494</v>
      </c>
      <c r="E194" s="1" t="s">
        <v>6495</v>
      </c>
      <c r="F194" s="1" t="s">
        <v>6496</v>
      </c>
      <c r="H194" s="1">
        <v>0</v>
      </c>
      <c r="I194" s="1">
        <v>2015</v>
      </c>
      <c r="J194" s="1">
        <v>29</v>
      </c>
      <c r="K194" s="1" t="s">
        <v>6497</v>
      </c>
    </row>
    <row r="195" spans="1:16" ht="15.75" customHeight="1">
      <c r="A195" s="1" t="s">
        <v>0</v>
      </c>
      <c r="B195" s="1" t="s">
        <v>4555</v>
      </c>
      <c r="C195" s="1" t="s">
        <v>4556</v>
      </c>
      <c r="D195" s="1" t="s">
        <v>58</v>
      </c>
      <c r="E195" s="1" t="s">
        <v>4557</v>
      </c>
      <c r="F195" s="1" t="s">
        <v>4558</v>
      </c>
      <c r="G195" s="1">
        <v>26</v>
      </c>
      <c r="H195" s="1">
        <v>0</v>
      </c>
      <c r="I195" s="1">
        <v>2015</v>
      </c>
      <c r="J195" s="1">
        <v>15</v>
      </c>
      <c r="K195" s="1" t="s">
        <v>378</v>
      </c>
    </row>
    <row r="196" spans="1:16" ht="15.75" customHeight="1">
      <c r="A196" s="1" t="s">
        <v>0</v>
      </c>
      <c r="B196" s="1" t="s">
        <v>6407</v>
      </c>
      <c r="C196" s="1" t="s">
        <v>6408</v>
      </c>
      <c r="D196" s="1" t="s">
        <v>6409</v>
      </c>
      <c r="E196" s="1" t="s">
        <v>6410</v>
      </c>
      <c r="F196" s="1" t="s">
        <v>6411</v>
      </c>
      <c r="G196" s="1">
        <v>48</v>
      </c>
      <c r="H196" s="1">
        <v>0</v>
      </c>
      <c r="I196" s="1">
        <v>2015</v>
      </c>
      <c r="J196" s="1" t="s">
        <v>6</v>
      </c>
      <c r="K196" s="1">
        <v>63</v>
      </c>
      <c r="L196" s="1">
        <v>127</v>
      </c>
      <c r="M196" s="1">
        <v>162</v>
      </c>
      <c r="N196" s="1" t="s">
        <v>6</v>
      </c>
      <c r="O196" s="1" t="s">
        <v>6</v>
      </c>
      <c r="P196" s="1" t="s">
        <v>6</v>
      </c>
    </row>
    <row r="197" spans="1:16" ht="15.75" customHeight="1">
      <c r="A197" s="1" t="s">
        <v>0</v>
      </c>
      <c r="B197" s="1" t="s">
        <v>6263</v>
      </c>
      <c r="C197" s="1" t="s">
        <v>6264</v>
      </c>
      <c r="D197" s="1" t="s">
        <v>4581</v>
      </c>
      <c r="E197" s="1" t="s">
        <v>6265</v>
      </c>
      <c r="F197" s="1" t="s">
        <v>6266</v>
      </c>
      <c r="G197" s="1">
        <v>25</v>
      </c>
      <c r="H197" s="1">
        <v>73</v>
      </c>
      <c r="I197" s="1">
        <v>2016</v>
      </c>
      <c r="J197" s="1">
        <v>48</v>
      </c>
      <c r="K197" s="1" t="s">
        <v>6267</v>
      </c>
      <c r="O197" s="1" t="s">
        <v>6268</v>
      </c>
    </row>
    <row r="198" spans="1:16" ht="15.75" customHeight="1">
      <c r="A198" s="1" t="s">
        <v>0</v>
      </c>
      <c r="B198" s="1" t="s">
        <v>3257</v>
      </c>
      <c r="C198" s="1" t="s">
        <v>3258</v>
      </c>
      <c r="D198" s="1" t="s">
        <v>952</v>
      </c>
      <c r="E198" s="1" t="s">
        <v>3259</v>
      </c>
      <c r="F198" s="1" t="s">
        <v>3260</v>
      </c>
      <c r="G198" s="1">
        <v>78</v>
      </c>
      <c r="H198" s="1">
        <v>63</v>
      </c>
      <c r="I198" s="1">
        <v>2016</v>
      </c>
      <c r="J198" s="1">
        <v>0</v>
      </c>
      <c r="K198" s="1" t="s">
        <v>3261</v>
      </c>
    </row>
    <row r="199" spans="1:16" ht="15.75" customHeight="1">
      <c r="A199" s="1" t="s">
        <v>10</v>
      </c>
      <c r="B199" s="1" t="s">
        <v>846</v>
      </c>
      <c r="C199" s="1" t="s">
        <v>847</v>
      </c>
      <c r="D199" s="1" t="s">
        <v>848</v>
      </c>
      <c r="F199" s="1" t="s">
        <v>849</v>
      </c>
      <c r="H199" s="1">
        <v>63</v>
      </c>
      <c r="I199" s="1">
        <v>2016</v>
      </c>
      <c r="J199" s="1">
        <v>54</v>
      </c>
      <c r="O199" s="1" t="s">
        <v>850</v>
      </c>
    </row>
    <row r="200" spans="1:16" ht="15.75" customHeight="1">
      <c r="A200" s="1" t="s">
        <v>10</v>
      </c>
      <c r="B200" s="1" t="s">
        <v>3711</v>
      </c>
      <c r="C200" s="1" t="s">
        <v>3712</v>
      </c>
      <c r="D200" s="1" t="s">
        <v>3182</v>
      </c>
      <c r="E200" s="1" t="s">
        <v>3713</v>
      </c>
      <c r="F200" s="1" t="s">
        <v>3714</v>
      </c>
      <c r="H200" s="1">
        <v>51</v>
      </c>
      <c r="I200" s="1">
        <v>2016</v>
      </c>
      <c r="J200" s="1">
        <v>37</v>
      </c>
      <c r="K200" s="1">
        <v>8</v>
      </c>
      <c r="O200" s="1" t="s">
        <v>3715</v>
      </c>
    </row>
    <row r="201" spans="1:16" ht="15.75" customHeight="1">
      <c r="A201" s="1" t="s">
        <v>0</v>
      </c>
      <c r="B201" s="1" t="s">
        <v>6169</v>
      </c>
      <c r="C201" s="1" t="s">
        <v>6170</v>
      </c>
      <c r="D201" s="1" t="s">
        <v>52</v>
      </c>
      <c r="E201" s="1" t="s">
        <v>6171</v>
      </c>
      <c r="F201" s="1" t="s">
        <v>6172</v>
      </c>
      <c r="G201" s="1">
        <v>30</v>
      </c>
      <c r="H201" s="1">
        <v>37</v>
      </c>
      <c r="I201" s="1">
        <v>2016</v>
      </c>
      <c r="J201" s="1">
        <v>15</v>
      </c>
      <c r="K201" s="1" t="s">
        <v>3618</v>
      </c>
    </row>
    <row r="202" spans="1:16" ht="15.75" customHeight="1">
      <c r="A202" s="1" t="s">
        <v>10</v>
      </c>
      <c r="B202" s="1" t="s">
        <v>6712</v>
      </c>
      <c r="C202" s="1" t="s">
        <v>6713</v>
      </c>
      <c r="D202" s="1" t="s">
        <v>848</v>
      </c>
      <c r="E202" s="1" t="s">
        <v>6714</v>
      </c>
      <c r="F202" s="1" t="s">
        <v>6715</v>
      </c>
      <c r="H202" s="1">
        <v>36</v>
      </c>
      <c r="I202" s="1">
        <v>2016</v>
      </c>
      <c r="J202" s="1">
        <v>54</v>
      </c>
      <c r="O202" s="1" t="s">
        <v>6716</v>
      </c>
    </row>
    <row r="203" spans="1:16" ht="15.75" customHeight="1">
      <c r="A203" s="1" t="s">
        <v>0</v>
      </c>
      <c r="B203" s="1" t="s">
        <v>3535</v>
      </c>
      <c r="C203" s="1" t="s">
        <v>3536</v>
      </c>
      <c r="D203" s="1" t="s">
        <v>1702</v>
      </c>
      <c r="E203" s="1" t="s">
        <v>3537</v>
      </c>
      <c r="F203" s="1" t="s">
        <v>3538</v>
      </c>
      <c r="G203" s="1">
        <v>44</v>
      </c>
      <c r="H203" s="1">
        <v>28</v>
      </c>
      <c r="I203" s="1">
        <v>2016</v>
      </c>
      <c r="J203" s="1">
        <v>15</v>
      </c>
      <c r="K203" s="1" t="s">
        <v>605</v>
      </c>
      <c r="O203" s="1" t="s">
        <v>3539</v>
      </c>
    </row>
    <row r="204" spans="1:16" ht="15.75" customHeight="1">
      <c r="A204" s="1" t="s">
        <v>10</v>
      </c>
      <c r="B204" s="1" t="s">
        <v>6988</v>
      </c>
      <c r="C204" s="1" t="s">
        <v>6989</v>
      </c>
      <c r="D204" s="2" t="s">
        <v>6196</v>
      </c>
      <c r="E204" s="1" t="s">
        <v>6990</v>
      </c>
      <c r="F204" s="1" t="s">
        <v>6991</v>
      </c>
      <c r="H204" s="1">
        <v>28</v>
      </c>
      <c r="I204" s="1">
        <v>2016</v>
      </c>
      <c r="J204" s="1">
        <v>42</v>
      </c>
      <c r="K204" s="1">
        <v>2</v>
      </c>
      <c r="O204" s="1" t="s">
        <v>6992</v>
      </c>
    </row>
    <row r="205" spans="1:16" ht="15.75" customHeight="1">
      <c r="A205" s="1" t="s">
        <v>0</v>
      </c>
      <c r="B205" s="1" t="s">
        <v>6517</v>
      </c>
      <c r="C205" s="1" t="s">
        <v>6518</v>
      </c>
      <c r="D205" s="1" t="s">
        <v>6519</v>
      </c>
      <c r="E205" s="1" t="s">
        <v>6520</v>
      </c>
      <c r="F205" s="1" t="s">
        <v>6521</v>
      </c>
      <c r="G205" s="1">
        <v>76</v>
      </c>
      <c r="H205" s="1">
        <v>26</v>
      </c>
      <c r="I205" s="1">
        <v>2016</v>
      </c>
      <c r="J205" s="1">
        <v>106</v>
      </c>
      <c r="K205" s="1">
        <v>3</v>
      </c>
      <c r="L205" s="1">
        <v>399</v>
      </c>
      <c r="M205" s="1">
        <v>420</v>
      </c>
      <c r="N205" s="1" t="s">
        <v>6</v>
      </c>
      <c r="O205" s="1" t="s">
        <v>6522</v>
      </c>
      <c r="P205" s="3" t="str">
        <f>HYPERLINK("http://dx.doi.org/10.1111/j.1931-0846.2016.12182.x","http://dx.doi.org/10.1111/j.1931-0846.2016.12182.x")</f>
        <v>http://dx.doi.org/10.1111/j.1931-0846.2016.12182.x</v>
      </c>
    </row>
    <row r="206" spans="1:16" ht="15.75" customHeight="1">
      <c r="A206" s="1" t="s">
        <v>10</v>
      </c>
      <c r="B206" s="1" t="s">
        <v>398</v>
      </c>
      <c r="C206" s="1" t="s">
        <v>399</v>
      </c>
      <c r="D206" s="1" t="s">
        <v>400</v>
      </c>
      <c r="E206" s="1" t="s">
        <v>401</v>
      </c>
      <c r="F206" s="1" t="s">
        <v>402</v>
      </c>
      <c r="H206" s="1">
        <v>23</v>
      </c>
      <c r="I206" s="1">
        <v>2016</v>
      </c>
      <c r="J206" s="1">
        <v>9</v>
      </c>
      <c r="O206" s="1" t="s">
        <v>403</v>
      </c>
    </row>
    <row r="207" spans="1:16" ht="15.75" customHeight="1">
      <c r="A207" s="1" t="s">
        <v>10</v>
      </c>
      <c r="B207" s="1" t="s">
        <v>4910</v>
      </c>
      <c r="C207" s="1" t="s">
        <v>4911</v>
      </c>
      <c r="D207" s="1" t="s">
        <v>479</v>
      </c>
      <c r="E207" s="1" t="s">
        <v>4912</v>
      </c>
      <c r="F207" s="1" t="s">
        <v>4913</v>
      </c>
      <c r="H207" s="1">
        <v>23</v>
      </c>
      <c r="I207" s="1">
        <v>2016</v>
      </c>
      <c r="J207" s="1">
        <v>50</v>
      </c>
      <c r="K207" s="1">
        <v>5</v>
      </c>
      <c r="O207" s="1" t="s">
        <v>4914</v>
      </c>
    </row>
    <row r="208" spans="1:16" ht="15.75" customHeight="1">
      <c r="A208" s="1" t="s">
        <v>0</v>
      </c>
      <c r="B208" s="1" t="s">
        <v>3423</v>
      </c>
      <c r="C208" s="1" t="s">
        <v>3424</v>
      </c>
      <c r="D208" s="1" t="s">
        <v>3425</v>
      </c>
      <c r="E208" s="1" t="s">
        <v>3426</v>
      </c>
      <c r="F208" s="1" t="s">
        <v>3427</v>
      </c>
      <c r="G208" s="1">
        <v>58</v>
      </c>
      <c r="H208" s="1">
        <v>22</v>
      </c>
      <c r="I208" s="1">
        <v>2016</v>
      </c>
      <c r="J208" s="1">
        <v>15</v>
      </c>
      <c r="K208" s="1" t="s">
        <v>378</v>
      </c>
      <c r="O208" s="1" t="s">
        <v>3428</v>
      </c>
    </row>
    <row r="209" spans="1:16" ht="15.75" customHeight="1">
      <c r="A209" s="1" t="s">
        <v>10</v>
      </c>
      <c r="B209" s="1" t="s">
        <v>4564</v>
      </c>
      <c r="C209" s="1" t="s">
        <v>4565</v>
      </c>
      <c r="D209" s="1" t="s">
        <v>4566</v>
      </c>
      <c r="E209" s="1" t="s">
        <v>4567</v>
      </c>
      <c r="F209" s="1" t="s">
        <v>4568</v>
      </c>
      <c r="H209" s="1">
        <v>21</v>
      </c>
      <c r="I209" s="1">
        <v>2016</v>
      </c>
      <c r="J209" s="1">
        <v>19</v>
      </c>
      <c r="K209" s="1">
        <v>1</v>
      </c>
      <c r="O209" s="1" t="s">
        <v>4569</v>
      </c>
    </row>
    <row r="210" spans="1:16" ht="15.75" customHeight="1">
      <c r="A210" s="1" t="s">
        <v>0</v>
      </c>
      <c r="B210" s="1" t="s">
        <v>483</v>
      </c>
      <c r="C210" s="1" t="s">
        <v>484</v>
      </c>
      <c r="D210" s="1" t="s">
        <v>264</v>
      </c>
      <c r="E210" s="1" t="s">
        <v>485</v>
      </c>
      <c r="F210" s="1" t="s">
        <v>486</v>
      </c>
      <c r="G210" s="1">
        <v>26</v>
      </c>
      <c r="H210" s="1">
        <v>21</v>
      </c>
      <c r="I210" s="1">
        <v>2016</v>
      </c>
      <c r="J210" s="1">
        <v>42</v>
      </c>
      <c r="K210" s="1">
        <v>3</v>
      </c>
      <c r="L210" s="1">
        <v>480</v>
      </c>
      <c r="M210" s="1">
        <v>502</v>
      </c>
      <c r="N210" s="1" t="s">
        <v>6</v>
      </c>
      <c r="O210" s="1" t="s">
        <v>487</v>
      </c>
      <c r="P210" s="3" t="str">
        <f>HYPERLINK("http://dx.doi.org/10.1080/1369183X.2015.1079122","http://dx.doi.org/10.1080/1369183X.2015.1079122")</f>
        <v>http://dx.doi.org/10.1080/1369183X.2015.1079122</v>
      </c>
    </row>
    <row r="211" spans="1:16" ht="15.75" customHeight="1">
      <c r="A211" s="1" t="s">
        <v>0</v>
      </c>
      <c r="B211" s="1" t="s">
        <v>7076</v>
      </c>
      <c r="C211" s="1" t="s">
        <v>7077</v>
      </c>
      <c r="D211" s="1" t="s">
        <v>206</v>
      </c>
      <c r="E211" s="1" t="s">
        <v>7078</v>
      </c>
      <c r="F211" s="1" t="s">
        <v>7079</v>
      </c>
      <c r="G211" s="1">
        <v>46</v>
      </c>
      <c r="H211" s="1">
        <v>16</v>
      </c>
      <c r="I211" s="1">
        <v>2016</v>
      </c>
      <c r="J211" s="1" t="s">
        <v>6</v>
      </c>
      <c r="K211" s="1">
        <v>55</v>
      </c>
      <c r="L211" s="1">
        <v>163</v>
      </c>
      <c r="M211" s="1">
        <v>176</v>
      </c>
      <c r="N211" s="1" t="s">
        <v>6</v>
      </c>
      <c r="O211" s="1" t="s">
        <v>7080</v>
      </c>
      <c r="P211" s="3" t="str">
        <f>HYPERLINK("http://dx.doi.org/10.7440/res55.2016.11","http://dx.doi.org/10.7440/res55.2016.11")</f>
        <v>http://dx.doi.org/10.7440/res55.2016.11</v>
      </c>
    </row>
    <row r="212" spans="1:16" ht="15.75" customHeight="1">
      <c r="A212" s="1" t="s">
        <v>10</v>
      </c>
      <c r="B212" s="1" t="s">
        <v>6916</v>
      </c>
      <c r="C212" s="1" t="s">
        <v>6917</v>
      </c>
      <c r="D212" s="1" t="s">
        <v>6918</v>
      </c>
      <c r="E212" s="1" t="s">
        <v>6919</v>
      </c>
      <c r="F212" s="1" t="s">
        <v>6920</v>
      </c>
      <c r="H212" s="1">
        <v>15</v>
      </c>
      <c r="I212" s="1">
        <v>2016</v>
      </c>
      <c r="J212" s="1">
        <v>11</v>
      </c>
      <c r="K212" s="1">
        <v>3</v>
      </c>
      <c r="O212" s="1" t="s">
        <v>6921</v>
      </c>
    </row>
    <row r="213" spans="1:16" ht="15.75" customHeight="1">
      <c r="A213" s="1" t="s">
        <v>10</v>
      </c>
      <c r="B213" s="1" t="s">
        <v>1791</v>
      </c>
      <c r="C213" s="1" t="s">
        <v>1792</v>
      </c>
      <c r="D213" s="1" t="s">
        <v>1793</v>
      </c>
      <c r="E213" s="1" t="s">
        <v>1794</v>
      </c>
      <c r="F213" s="1" t="s">
        <v>1795</v>
      </c>
      <c r="H213" s="1">
        <v>11</v>
      </c>
      <c r="I213" s="1">
        <v>2016</v>
      </c>
      <c r="J213" s="1">
        <v>14</v>
      </c>
      <c r="K213" s="1">
        <v>1</v>
      </c>
      <c r="O213" s="1" t="s">
        <v>1796</v>
      </c>
    </row>
    <row r="214" spans="1:16" ht="15.75" customHeight="1">
      <c r="A214" s="1" t="s">
        <v>10</v>
      </c>
      <c r="B214" s="1" t="s">
        <v>4692</v>
      </c>
      <c r="C214" s="1" t="s">
        <v>4693</v>
      </c>
      <c r="D214" s="1" t="s">
        <v>4694</v>
      </c>
      <c r="E214" s="1" t="s">
        <v>4695</v>
      </c>
      <c r="F214" s="1" t="s">
        <v>4696</v>
      </c>
      <c r="H214" s="1">
        <v>11</v>
      </c>
      <c r="I214" s="1">
        <v>2016</v>
      </c>
      <c r="J214" s="1">
        <v>59</v>
      </c>
      <c r="K214" s="1">
        <v>6</v>
      </c>
      <c r="O214" s="1" t="s">
        <v>4697</v>
      </c>
    </row>
    <row r="215" spans="1:16" ht="15.75" customHeight="1">
      <c r="A215" s="1" t="s">
        <v>10</v>
      </c>
      <c r="B215" s="1" t="s">
        <v>4451</v>
      </c>
      <c r="C215" s="1" t="s">
        <v>4452</v>
      </c>
      <c r="D215" s="1" t="s">
        <v>515</v>
      </c>
      <c r="E215" s="1" t="s">
        <v>4453</v>
      </c>
      <c r="F215" s="1" t="s">
        <v>4454</v>
      </c>
      <c r="H215" s="1">
        <v>10</v>
      </c>
      <c r="I215" s="1">
        <v>2016</v>
      </c>
      <c r="J215" s="1">
        <v>31</v>
      </c>
      <c r="K215" s="1">
        <v>2</v>
      </c>
      <c r="O215" s="1" t="s">
        <v>4455</v>
      </c>
    </row>
    <row r="216" spans="1:16" ht="15.75" customHeight="1">
      <c r="A216" s="1" t="s">
        <v>10</v>
      </c>
      <c r="B216" s="1" t="s">
        <v>2921</v>
      </c>
      <c r="C216" s="1" t="s">
        <v>2922</v>
      </c>
      <c r="D216" s="1" t="s">
        <v>76</v>
      </c>
      <c r="E216" s="1" t="s">
        <v>2923</v>
      </c>
      <c r="F216" s="1" t="s">
        <v>2924</v>
      </c>
      <c r="H216" s="1">
        <v>10</v>
      </c>
      <c r="I216" s="1">
        <v>2016</v>
      </c>
      <c r="J216" s="1">
        <v>29</v>
      </c>
      <c r="K216" s="1">
        <v>1</v>
      </c>
      <c r="O216" s="1" t="s">
        <v>2925</v>
      </c>
    </row>
    <row r="217" spans="1:16" ht="15.75" customHeight="1">
      <c r="A217" s="1" t="s">
        <v>0</v>
      </c>
      <c r="B217" s="1" t="s">
        <v>3926</v>
      </c>
      <c r="C217" s="1" t="s">
        <v>3927</v>
      </c>
      <c r="D217" s="1" t="s">
        <v>2339</v>
      </c>
      <c r="E217" s="1" t="s">
        <v>3928</v>
      </c>
      <c r="F217" s="1" t="s">
        <v>3929</v>
      </c>
      <c r="G217" s="1">
        <v>32</v>
      </c>
      <c r="H217" s="1">
        <v>10</v>
      </c>
      <c r="I217" s="1">
        <v>2016</v>
      </c>
      <c r="J217" s="1">
        <v>0</v>
      </c>
      <c r="K217" s="1" t="s">
        <v>3045</v>
      </c>
    </row>
    <row r="218" spans="1:16" ht="15.75" customHeight="1">
      <c r="A218" s="1" t="s">
        <v>0</v>
      </c>
      <c r="B218" s="1" t="s">
        <v>5746</v>
      </c>
      <c r="C218" s="1" t="s">
        <v>5752</v>
      </c>
      <c r="D218" s="1" t="s">
        <v>5753</v>
      </c>
      <c r="E218" s="1" t="s">
        <v>5754</v>
      </c>
      <c r="F218" s="1" t="s">
        <v>5755</v>
      </c>
      <c r="G218" s="1">
        <v>112</v>
      </c>
      <c r="H218" s="1">
        <v>9</v>
      </c>
      <c r="I218" s="1">
        <v>2016</v>
      </c>
      <c r="J218" s="1">
        <v>76</v>
      </c>
      <c r="K218" s="1" t="s">
        <v>6</v>
      </c>
      <c r="L218" s="1">
        <v>48</v>
      </c>
      <c r="M218" s="1">
        <v>58</v>
      </c>
      <c r="N218" s="1" t="s">
        <v>6</v>
      </c>
      <c r="O218" s="1" t="s">
        <v>5756</v>
      </c>
      <c r="P218" s="3" t="str">
        <f>HYPERLINK("http://dx.doi.org/10.1016/j.geoforum.2016.08.006","http://dx.doi.org/10.1016/j.geoforum.2016.08.006")</f>
        <v>http://dx.doi.org/10.1016/j.geoforum.2016.08.006</v>
      </c>
    </row>
    <row r="219" spans="1:16" ht="15.75" customHeight="1">
      <c r="A219" s="1" t="s">
        <v>0</v>
      </c>
      <c r="B219" s="1" t="s">
        <v>3101</v>
      </c>
      <c r="C219" s="1" t="s">
        <v>3102</v>
      </c>
      <c r="D219" s="1" t="s">
        <v>3103</v>
      </c>
      <c r="E219" s="1" t="s">
        <v>3104</v>
      </c>
      <c r="F219" s="1" t="s">
        <v>3105</v>
      </c>
      <c r="G219" s="1">
        <v>35</v>
      </c>
      <c r="H219" s="1">
        <v>8</v>
      </c>
      <c r="I219" s="1">
        <v>2016</v>
      </c>
      <c r="J219" s="1">
        <v>44</v>
      </c>
      <c r="K219" s="1" t="s">
        <v>6</v>
      </c>
      <c r="L219" s="1">
        <v>159</v>
      </c>
      <c r="M219" s="1">
        <v>178</v>
      </c>
      <c r="N219" s="1" t="s">
        <v>6</v>
      </c>
      <c r="O219" s="1" t="s">
        <v>3106</v>
      </c>
      <c r="P219" s="3" t="str">
        <f>HYPERLINK("http://dx.doi.org/10.1016/j.ejpoleco.2016.07.006","http://dx.doi.org/10.1016/j.ejpoleco.2016.07.006")</f>
        <v>http://dx.doi.org/10.1016/j.ejpoleco.2016.07.006</v>
      </c>
    </row>
    <row r="220" spans="1:16" ht="15.75" customHeight="1">
      <c r="A220" s="1" t="s">
        <v>10</v>
      </c>
      <c r="B220" s="1" t="s">
        <v>6473</v>
      </c>
      <c r="C220" s="1" t="s">
        <v>6474</v>
      </c>
      <c r="D220" s="1" t="s">
        <v>6475</v>
      </c>
      <c r="E220" s="1" t="s">
        <v>6476</v>
      </c>
      <c r="F220" s="1" t="s">
        <v>6477</v>
      </c>
      <c r="H220" s="1">
        <v>7</v>
      </c>
      <c r="I220" s="1">
        <v>2016</v>
      </c>
      <c r="J220" s="1">
        <v>25</v>
      </c>
      <c r="K220" s="1">
        <v>1</v>
      </c>
      <c r="O220" s="1" t="s">
        <v>6478</v>
      </c>
    </row>
    <row r="221" spans="1:16" ht="15.75" customHeight="1">
      <c r="A221" s="1" t="s">
        <v>0</v>
      </c>
      <c r="B221" s="1" t="s">
        <v>2739</v>
      </c>
      <c r="C221" s="1" t="s">
        <v>2740</v>
      </c>
      <c r="D221" s="1" t="s">
        <v>201</v>
      </c>
      <c r="E221" s="1" t="s">
        <v>2741</v>
      </c>
      <c r="F221" s="1" t="s">
        <v>2742</v>
      </c>
      <c r="G221" s="1">
        <v>72</v>
      </c>
      <c r="H221" s="1">
        <v>7</v>
      </c>
      <c r="I221" s="1">
        <v>2016</v>
      </c>
      <c r="J221" s="1" t="s">
        <v>6</v>
      </c>
      <c r="K221" s="1">
        <v>53</v>
      </c>
      <c r="L221" s="1">
        <v>159</v>
      </c>
      <c r="M221" s="1">
        <v>184</v>
      </c>
      <c r="N221" s="1" t="s">
        <v>6</v>
      </c>
      <c r="O221" s="1" t="s">
        <v>6</v>
      </c>
      <c r="P221" s="1" t="s">
        <v>6</v>
      </c>
    </row>
    <row r="222" spans="1:16" ht="15.75" customHeight="1">
      <c r="A222" s="1" t="s">
        <v>0</v>
      </c>
      <c r="B222" s="1" t="s">
        <v>6795</v>
      </c>
      <c r="C222" s="1" t="s">
        <v>6796</v>
      </c>
      <c r="D222" s="1" t="s">
        <v>282</v>
      </c>
      <c r="E222" s="1" t="s">
        <v>6797</v>
      </c>
      <c r="F222" s="1" t="s">
        <v>6798</v>
      </c>
      <c r="G222" s="1">
        <v>42</v>
      </c>
      <c r="H222" s="1">
        <v>6</v>
      </c>
      <c r="I222" s="1">
        <v>2016</v>
      </c>
      <c r="J222" s="1">
        <v>26</v>
      </c>
      <c r="K222" s="1" t="s">
        <v>61</v>
      </c>
    </row>
    <row r="223" spans="1:16" ht="15.75" customHeight="1">
      <c r="A223" s="1" t="s">
        <v>0</v>
      </c>
      <c r="B223" s="1" t="s">
        <v>2413</v>
      </c>
      <c r="C223" s="1" t="s">
        <v>2414</v>
      </c>
      <c r="D223" s="1" t="s">
        <v>195</v>
      </c>
      <c r="E223" s="1" t="s">
        <v>2415</v>
      </c>
      <c r="F223" s="1" t="s">
        <v>2416</v>
      </c>
      <c r="G223" s="1">
        <v>24</v>
      </c>
      <c r="H223" s="1">
        <v>4</v>
      </c>
      <c r="I223" s="1">
        <v>2016</v>
      </c>
      <c r="J223" s="1">
        <v>48</v>
      </c>
      <c r="K223" s="1">
        <v>3</v>
      </c>
      <c r="L223" s="1">
        <v>441</v>
      </c>
      <c r="M223" s="1">
        <v>451</v>
      </c>
      <c r="N223" s="1" t="s">
        <v>6</v>
      </c>
      <c r="O223" s="1" t="s">
        <v>2417</v>
      </c>
      <c r="P223" s="3" t="str">
        <f>HYPERLINK("http://dx.doi.org/10.4067/S0717-73562016005000010","http://dx.doi.org/10.4067/S0717-73562016005000010")</f>
        <v>http://dx.doi.org/10.4067/S0717-73562016005000010</v>
      </c>
    </row>
    <row r="224" spans="1:16" ht="15.75" customHeight="1">
      <c r="A224" s="1" t="s">
        <v>10</v>
      </c>
      <c r="B224" s="1" t="s">
        <v>1868</v>
      </c>
      <c r="C224" s="1" t="s">
        <v>1869</v>
      </c>
      <c r="D224" s="1" t="s">
        <v>1517</v>
      </c>
      <c r="F224" s="1" t="s">
        <v>1870</v>
      </c>
      <c r="H224" s="1">
        <v>4</v>
      </c>
      <c r="I224" s="1">
        <v>2016</v>
      </c>
      <c r="J224" s="1">
        <v>54</v>
      </c>
      <c r="K224" s="1">
        <v>6</v>
      </c>
      <c r="O224" s="1" t="s">
        <v>1871</v>
      </c>
    </row>
    <row r="225" spans="1:16" ht="15.75" customHeight="1">
      <c r="A225" s="1" t="s">
        <v>0</v>
      </c>
      <c r="B225" s="1" t="s">
        <v>1493</v>
      </c>
      <c r="C225" s="1" t="s">
        <v>1494</v>
      </c>
      <c r="D225" s="1" t="s">
        <v>1495</v>
      </c>
      <c r="E225" s="1" t="s">
        <v>1496</v>
      </c>
      <c r="F225" s="1" t="s">
        <v>1497</v>
      </c>
      <c r="G225" s="1">
        <v>71</v>
      </c>
      <c r="H225" s="1">
        <v>3</v>
      </c>
      <c r="I225" s="1">
        <v>2016</v>
      </c>
      <c r="J225" s="1">
        <v>49</v>
      </c>
      <c r="K225" s="1">
        <v>1</v>
      </c>
      <c r="L225" s="1">
        <v>87</v>
      </c>
      <c r="M225" s="1">
        <v>110</v>
      </c>
      <c r="N225" s="1" t="s">
        <v>6</v>
      </c>
      <c r="O225" s="1" t="s">
        <v>6</v>
      </c>
      <c r="P225" s="1" t="s">
        <v>6</v>
      </c>
    </row>
    <row r="226" spans="1:16" ht="15.75" customHeight="1">
      <c r="A226" s="1" t="s">
        <v>0</v>
      </c>
      <c r="B226" s="1" t="s">
        <v>2418</v>
      </c>
      <c r="C226" s="1" t="s">
        <v>2419</v>
      </c>
      <c r="D226" s="1" t="s">
        <v>963</v>
      </c>
      <c r="E226" s="8" t="s">
        <v>7120</v>
      </c>
      <c r="F226" s="1" t="s">
        <v>2420</v>
      </c>
      <c r="G226" s="1">
        <v>52</v>
      </c>
      <c r="H226" s="1">
        <v>2</v>
      </c>
      <c r="I226" s="1">
        <v>2016</v>
      </c>
      <c r="J226" s="1">
        <v>54</v>
      </c>
      <c r="K226" s="1">
        <v>4</v>
      </c>
      <c r="L226" s="1">
        <v>74</v>
      </c>
      <c r="M226" s="1">
        <v>86</v>
      </c>
      <c r="N226" s="1" t="s">
        <v>6</v>
      </c>
      <c r="O226" s="1" t="s">
        <v>2421</v>
      </c>
      <c r="P226" s="3" t="str">
        <f>HYPERLINK("http://dx.doi.org/10.1111/imig.12244","http://dx.doi.org/10.1111/imig.12244")</f>
        <v>http://dx.doi.org/10.1111/imig.12244</v>
      </c>
    </row>
    <row r="227" spans="1:16" ht="15.75" customHeight="1">
      <c r="A227" s="1" t="s">
        <v>10</v>
      </c>
      <c r="B227" s="1" t="s">
        <v>4036</v>
      </c>
      <c r="C227" s="1" t="s">
        <v>4037</v>
      </c>
      <c r="D227" s="1" t="s">
        <v>4038</v>
      </c>
      <c r="E227" s="1" t="s">
        <v>4039</v>
      </c>
      <c r="F227" s="1" t="s">
        <v>4040</v>
      </c>
      <c r="H227" s="1">
        <v>2</v>
      </c>
      <c r="I227" s="1">
        <v>2016</v>
      </c>
      <c r="J227" s="1">
        <v>21</v>
      </c>
      <c r="K227" s="1">
        <v>3</v>
      </c>
      <c r="O227" s="1" t="s">
        <v>4041</v>
      </c>
    </row>
    <row r="228" spans="1:16" ht="15.75" customHeight="1">
      <c r="A228" s="1" t="s">
        <v>10</v>
      </c>
      <c r="B228" s="1" t="s">
        <v>3322</v>
      </c>
      <c r="C228" s="1" t="s">
        <v>3323</v>
      </c>
      <c r="D228" s="1" t="s">
        <v>3324</v>
      </c>
      <c r="E228" s="1" t="s">
        <v>3325</v>
      </c>
      <c r="F228" s="1" t="s">
        <v>3326</v>
      </c>
      <c r="H228" s="1">
        <v>2</v>
      </c>
      <c r="I228" s="1">
        <v>2016</v>
      </c>
      <c r="J228" s="1">
        <v>22</v>
      </c>
      <c r="K228" s="1">
        <v>2</v>
      </c>
      <c r="O228" s="1" t="s">
        <v>3327</v>
      </c>
    </row>
    <row r="229" spans="1:16" ht="15.75" customHeight="1">
      <c r="A229" s="1" t="s">
        <v>0</v>
      </c>
      <c r="B229" s="1" t="s">
        <v>2343</v>
      </c>
      <c r="C229" s="1" t="s">
        <v>2344</v>
      </c>
      <c r="D229" s="1" t="s">
        <v>201</v>
      </c>
      <c r="E229" s="1" t="s">
        <v>2345</v>
      </c>
      <c r="F229" s="1" t="s">
        <v>2346</v>
      </c>
      <c r="G229" s="1">
        <v>80</v>
      </c>
      <c r="H229" s="1">
        <v>2</v>
      </c>
      <c r="I229" s="1">
        <v>2016</v>
      </c>
      <c r="J229" s="1" t="s">
        <v>6</v>
      </c>
      <c r="K229" s="1">
        <v>52</v>
      </c>
      <c r="L229" s="1">
        <v>153</v>
      </c>
      <c r="M229" s="1">
        <v>175</v>
      </c>
      <c r="N229" s="1" t="s">
        <v>6</v>
      </c>
      <c r="O229" s="1" t="s">
        <v>6</v>
      </c>
      <c r="P229" s="1" t="s">
        <v>6</v>
      </c>
    </row>
    <row r="230" spans="1:16" ht="15.75" customHeight="1">
      <c r="A230" s="1" t="s">
        <v>10</v>
      </c>
      <c r="B230" s="1" t="s">
        <v>4341</v>
      </c>
      <c r="C230" s="1" t="s">
        <v>4342</v>
      </c>
      <c r="D230" s="1" t="s">
        <v>4343</v>
      </c>
      <c r="E230" s="1" t="s">
        <v>4344</v>
      </c>
      <c r="F230" s="1" t="s">
        <v>4345</v>
      </c>
      <c r="H230" s="1">
        <v>1</v>
      </c>
      <c r="I230" s="1">
        <v>2016</v>
      </c>
      <c r="J230" s="1">
        <v>39</v>
      </c>
    </row>
    <row r="231" spans="1:16" ht="15.75" customHeight="1">
      <c r="A231" s="1" t="s">
        <v>0</v>
      </c>
      <c r="B231" s="1" t="s">
        <v>4128</v>
      </c>
      <c r="C231" s="1" t="s">
        <v>4129</v>
      </c>
      <c r="D231" s="1" t="s">
        <v>4130</v>
      </c>
      <c r="E231" s="1" t="s">
        <v>4131</v>
      </c>
      <c r="F231" s="1" t="s">
        <v>4132</v>
      </c>
      <c r="G231" s="1">
        <v>57</v>
      </c>
      <c r="H231" s="1">
        <v>1</v>
      </c>
      <c r="I231" s="1">
        <v>2016</v>
      </c>
      <c r="J231" s="1">
        <v>16</v>
      </c>
      <c r="K231" s="1" t="s">
        <v>4133</v>
      </c>
    </row>
    <row r="232" spans="1:16" ht="15.75" customHeight="1">
      <c r="A232" s="1" t="s">
        <v>0</v>
      </c>
      <c r="B232" s="1" t="s">
        <v>199</v>
      </c>
      <c r="C232" s="1" t="s">
        <v>200</v>
      </c>
      <c r="D232" s="1" t="s">
        <v>201</v>
      </c>
      <c r="E232" s="1" t="s">
        <v>202</v>
      </c>
      <c r="F232" s="1" t="s">
        <v>203</v>
      </c>
      <c r="G232" s="1">
        <v>41</v>
      </c>
      <c r="H232" s="1">
        <v>1</v>
      </c>
      <c r="I232" s="1">
        <v>2016</v>
      </c>
      <c r="J232" s="1" t="s">
        <v>6</v>
      </c>
      <c r="K232" s="1">
        <v>53</v>
      </c>
      <c r="L232" s="1">
        <v>205</v>
      </c>
      <c r="M232" s="1">
        <v>220</v>
      </c>
      <c r="N232" s="1" t="s">
        <v>6</v>
      </c>
      <c r="O232" s="1" t="s">
        <v>6</v>
      </c>
      <c r="P232" s="1" t="s">
        <v>6</v>
      </c>
    </row>
    <row r="233" spans="1:16" ht="15.75" customHeight="1">
      <c r="A233" s="1" t="s">
        <v>463</v>
      </c>
      <c r="B233" s="1" t="s">
        <v>4319</v>
      </c>
      <c r="C233" s="1" t="s">
        <v>4320</v>
      </c>
      <c r="D233" s="1" t="s">
        <v>4321</v>
      </c>
      <c r="E233" s="1" t="s">
        <v>4322</v>
      </c>
      <c r="F233" s="1" t="s">
        <v>4323</v>
      </c>
      <c r="H233" s="1">
        <v>0</v>
      </c>
      <c r="I233" s="1">
        <v>2016</v>
      </c>
    </row>
    <row r="234" spans="1:16" ht="15.75" customHeight="1">
      <c r="A234" s="1" t="s">
        <v>10</v>
      </c>
      <c r="B234" s="1" t="s">
        <v>2887</v>
      </c>
      <c r="C234" s="1" t="s">
        <v>2888</v>
      </c>
      <c r="D234" s="1" t="s">
        <v>2889</v>
      </c>
      <c r="E234" s="1" t="s">
        <v>2890</v>
      </c>
      <c r="F234" s="1" t="s">
        <v>2891</v>
      </c>
      <c r="H234" s="1">
        <v>0</v>
      </c>
      <c r="I234" s="1">
        <v>2016</v>
      </c>
      <c r="J234" s="1">
        <v>31</v>
      </c>
      <c r="K234" s="1">
        <v>3</v>
      </c>
      <c r="O234" s="1" t="s">
        <v>2892</v>
      </c>
    </row>
    <row r="235" spans="1:16" ht="15.75" customHeight="1">
      <c r="A235" s="1" t="s">
        <v>0</v>
      </c>
      <c r="B235" s="1" t="s">
        <v>5566</v>
      </c>
      <c r="C235" s="1" t="s">
        <v>5567</v>
      </c>
      <c r="D235" s="1" t="s">
        <v>2022</v>
      </c>
      <c r="E235" s="1" t="s">
        <v>5568</v>
      </c>
      <c r="F235" s="1" t="s">
        <v>5569</v>
      </c>
      <c r="G235" s="1">
        <v>40</v>
      </c>
      <c r="H235" s="1">
        <v>0</v>
      </c>
      <c r="I235" s="1">
        <v>2016</v>
      </c>
      <c r="J235" s="1" t="s">
        <v>6</v>
      </c>
      <c r="K235" s="1">
        <v>64</v>
      </c>
      <c r="L235" s="1">
        <v>187</v>
      </c>
      <c r="M235" s="1">
        <v>206</v>
      </c>
      <c r="N235" s="1" t="s">
        <v>6</v>
      </c>
      <c r="O235" s="1" t="s">
        <v>6</v>
      </c>
      <c r="P235" s="1" t="s">
        <v>6</v>
      </c>
    </row>
    <row r="236" spans="1:16" ht="15.75" customHeight="1">
      <c r="A236" s="1" t="s">
        <v>10</v>
      </c>
      <c r="B236" s="1" t="s">
        <v>7031</v>
      </c>
      <c r="C236" s="1" t="s">
        <v>7032</v>
      </c>
      <c r="D236" s="1" t="s">
        <v>2011</v>
      </c>
      <c r="E236" s="1" t="s">
        <v>7033</v>
      </c>
      <c r="F236" s="1" t="s">
        <v>7034</v>
      </c>
      <c r="H236" s="1">
        <v>96</v>
      </c>
      <c r="I236" s="1">
        <v>2017</v>
      </c>
      <c r="J236" s="1">
        <v>67</v>
      </c>
      <c r="O236" s="1" t="s">
        <v>7035</v>
      </c>
    </row>
    <row r="237" spans="1:16" ht="15.75" customHeight="1">
      <c r="A237" s="1" t="s">
        <v>10</v>
      </c>
      <c r="B237" s="1" t="s">
        <v>2449</v>
      </c>
      <c r="C237" s="1" t="s">
        <v>2450</v>
      </c>
      <c r="D237" s="1" t="s">
        <v>2451</v>
      </c>
      <c r="E237" s="1" t="s">
        <v>2452</v>
      </c>
      <c r="F237" s="1" t="s">
        <v>2453</v>
      </c>
      <c r="H237" s="1">
        <v>68</v>
      </c>
      <c r="I237" s="1">
        <v>2017</v>
      </c>
      <c r="J237" s="1">
        <v>65</v>
      </c>
      <c r="O237" s="1" t="s">
        <v>2454</v>
      </c>
    </row>
    <row r="238" spans="1:16" ht="15.75" customHeight="1">
      <c r="A238" s="1" t="s">
        <v>10</v>
      </c>
      <c r="B238" s="1" t="s">
        <v>3196</v>
      </c>
      <c r="C238" s="1" t="s">
        <v>3197</v>
      </c>
      <c r="D238" s="1" t="s">
        <v>1702</v>
      </c>
      <c r="E238" s="1" t="s">
        <v>3198</v>
      </c>
      <c r="F238" s="1" t="s">
        <v>3199</v>
      </c>
      <c r="H238" s="1">
        <v>47</v>
      </c>
      <c r="I238" s="1">
        <v>2017</v>
      </c>
      <c r="J238" s="1">
        <v>16</v>
      </c>
      <c r="K238" s="1">
        <v>1</v>
      </c>
      <c r="O238" s="1" t="s">
        <v>3200</v>
      </c>
    </row>
    <row r="239" spans="1:16" ht="15.75" customHeight="1">
      <c r="A239" s="1" t="s">
        <v>0</v>
      </c>
      <c r="B239" s="1" t="s">
        <v>6258</v>
      </c>
      <c r="C239" s="1" t="s">
        <v>6259</v>
      </c>
      <c r="D239" s="1" t="s">
        <v>3511</v>
      </c>
      <c r="E239" s="1" t="s">
        <v>6260</v>
      </c>
      <c r="F239" s="1" t="s">
        <v>6261</v>
      </c>
      <c r="G239" s="1">
        <v>85</v>
      </c>
      <c r="H239" s="1">
        <v>47</v>
      </c>
      <c r="I239" s="1">
        <v>2017</v>
      </c>
      <c r="K239" s="1" t="s">
        <v>3828</v>
      </c>
      <c r="O239" s="1" t="s">
        <v>6262</v>
      </c>
    </row>
    <row r="240" spans="1:16" ht="15.75" customHeight="1">
      <c r="A240" s="1" t="s">
        <v>0</v>
      </c>
      <c r="B240" s="1" t="s">
        <v>5196</v>
      </c>
      <c r="C240" s="1" t="s">
        <v>5197</v>
      </c>
      <c r="D240" s="1" t="s">
        <v>1371</v>
      </c>
      <c r="E240" s="1" t="s">
        <v>5198</v>
      </c>
      <c r="F240" s="1" t="s">
        <v>5199</v>
      </c>
      <c r="G240" s="1">
        <v>32</v>
      </c>
      <c r="H240" s="1">
        <v>43</v>
      </c>
      <c r="I240" s="1">
        <v>2017</v>
      </c>
      <c r="J240" s="1">
        <v>43</v>
      </c>
      <c r="K240" s="1" t="s">
        <v>605</v>
      </c>
    </row>
    <row r="241" spans="1:15" ht="15.75" customHeight="1">
      <c r="A241" s="1" t="s">
        <v>0</v>
      </c>
      <c r="B241" s="1" t="s">
        <v>1252</v>
      </c>
      <c r="C241" s="1" t="s">
        <v>1253</v>
      </c>
      <c r="D241" s="1" t="s">
        <v>382</v>
      </c>
      <c r="E241" s="1" t="s">
        <v>1254</v>
      </c>
      <c r="F241" s="1" t="s">
        <v>1255</v>
      </c>
      <c r="G241" s="1">
        <v>50</v>
      </c>
      <c r="H241" s="1">
        <v>42</v>
      </c>
      <c r="I241" s="1">
        <v>2017</v>
      </c>
      <c r="J241" s="1">
        <v>11</v>
      </c>
      <c r="K241" s="1" t="s">
        <v>61</v>
      </c>
    </row>
    <row r="242" spans="1:15" ht="15.75" customHeight="1">
      <c r="A242" s="1" t="s">
        <v>10</v>
      </c>
      <c r="B242" s="1" t="s">
        <v>4213</v>
      </c>
      <c r="C242" s="1" t="s">
        <v>4214</v>
      </c>
      <c r="D242" s="1" t="s">
        <v>2857</v>
      </c>
      <c r="E242" s="1" t="s">
        <v>4215</v>
      </c>
      <c r="F242" s="1" t="s">
        <v>4216</v>
      </c>
      <c r="H242" s="1">
        <v>38</v>
      </c>
      <c r="I242" s="1">
        <v>2017</v>
      </c>
      <c r="J242" s="1">
        <v>43</v>
      </c>
      <c r="K242" s="1">
        <v>3</v>
      </c>
      <c r="O242" s="1" t="s">
        <v>4217</v>
      </c>
    </row>
    <row r="243" spans="1:15" ht="15.75" customHeight="1">
      <c r="A243" s="1" t="s">
        <v>0</v>
      </c>
      <c r="B243" s="1" t="s">
        <v>6244</v>
      </c>
      <c r="C243" s="1" t="s">
        <v>6245</v>
      </c>
      <c r="D243" s="1" t="s">
        <v>732</v>
      </c>
      <c r="E243" s="1" t="s">
        <v>6246</v>
      </c>
      <c r="F243" s="1" t="s">
        <v>6247</v>
      </c>
      <c r="G243" s="1">
        <v>28</v>
      </c>
      <c r="H243" s="1">
        <v>37</v>
      </c>
      <c r="I243" s="1">
        <v>2017</v>
      </c>
      <c r="J243" s="1">
        <v>25</v>
      </c>
      <c r="K243" s="1" t="s">
        <v>461</v>
      </c>
      <c r="O243" s="1" t="s">
        <v>6248</v>
      </c>
    </row>
    <row r="244" spans="1:15" ht="15.75" customHeight="1">
      <c r="A244" s="1" t="s">
        <v>0</v>
      </c>
      <c r="B244" s="1" t="s">
        <v>494</v>
      </c>
      <c r="C244" s="1" t="s">
        <v>495</v>
      </c>
      <c r="D244" s="1" t="s">
        <v>496</v>
      </c>
      <c r="E244" s="1" t="s">
        <v>497</v>
      </c>
      <c r="F244" s="1" t="s">
        <v>498</v>
      </c>
      <c r="G244" s="1">
        <v>33</v>
      </c>
      <c r="H244" s="1">
        <v>34</v>
      </c>
      <c r="I244" s="1">
        <v>2017</v>
      </c>
      <c r="J244" s="1">
        <v>34</v>
      </c>
      <c r="K244" s="1" t="s">
        <v>378</v>
      </c>
      <c r="O244" s="1" t="s">
        <v>499</v>
      </c>
    </row>
    <row r="245" spans="1:15" ht="15.75" customHeight="1">
      <c r="A245" s="1" t="s">
        <v>10</v>
      </c>
      <c r="B245" s="1" t="s">
        <v>4101</v>
      </c>
      <c r="C245" s="1" t="s">
        <v>4102</v>
      </c>
      <c r="D245" s="1" t="s">
        <v>3018</v>
      </c>
      <c r="E245" s="1" t="s">
        <v>4103</v>
      </c>
      <c r="F245" s="1" t="s">
        <v>4104</v>
      </c>
      <c r="H245" s="1">
        <v>31</v>
      </c>
      <c r="I245" s="1">
        <v>2017</v>
      </c>
      <c r="J245" s="1">
        <v>53</v>
      </c>
      <c r="O245" s="1" t="s">
        <v>4105</v>
      </c>
    </row>
    <row r="246" spans="1:15" ht="15.75" customHeight="1">
      <c r="A246" s="1" t="s">
        <v>0</v>
      </c>
      <c r="B246" s="1" t="s">
        <v>713</v>
      </c>
      <c r="C246" s="1" t="s">
        <v>714</v>
      </c>
      <c r="D246" s="1" t="s">
        <v>715</v>
      </c>
      <c r="E246" s="1" t="s">
        <v>716</v>
      </c>
      <c r="F246" s="1" t="s">
        <v>717</v>
      </c>
      <c r="G246" s="1">
        <v>28</v>
      </c>
      <c r="H246" s="1">
        <v>30</v>
      </c>
      <c r="I246" s="1">
        <v>2017</v>
      </c>
      <c r="J246" s="1">
        <v>34</v>
      </c>
      <c r="K246" s="1" t="s">
        <v>61</v>
      </c>
      <c r="O246" s="1" t="s">
        <v>718</v>
      </c>
    </row>
    <row r="247" spans="1:15" ht="15.75" customHeight="1">
      <c r="A247" s="1" t="s">
        <v>10</v>
      </c>
      <c r="B247" s="1" t="s">
        <v>6944</v>
      </c>
      <c r="C247" s="1" t="s">
        <v>6945</v>
      </c>
      <c r="D247" s="1" t="s">
        <v>6946</v>
      </c>
      <c r="E247" s="1" t="s">
        <v>6947</v>
      </c>
      <c r="F247" s="2" t="s">
        <v>6948</v>
      </c>
      <c r="H247" s="1">
        <v>28</v>
      </c>
      <c r="I247" s="1">
        <v>2017</v>
      </c>
      <c r="J247" s="1">
        <v>22</v>
      </c>
      <c r="K247" s="1">
        <v>5</v>
      </c>
      <c r="O247" s="1" t="s">
        <v>6949</v>
      </c>
    </row>
    <row r="248" spans="1:15" ht="15.75" customHeight="1">
      <c r="A248" s="1" t="s">
        <v>0</v>
      </c>
      <c r="B248" s="1" t="s">
        <v>950</v>
      </c>
      <c r="C248" s="1" t="s">
        <v>951</v>
      </c>
      <c r="D248" s="1" t="s">
        <v>952</v>
      </c>
      <c r="E248" s="1" t="s">
        <v>953</v>
      </c>
      <c r="F248" s="1" t="s">
        <v>954</v>
      </c>
      <c r="G248" s="1">
        <v>52</v>
      </c>
      <c r="H248" s="1">
        <v>26</v>
      </c>
      <c r="I248" s="1">
        <v>2017</v>
      </c>
      <c r="J248" s="1">
        <v>0</v>
      </c>
      <c r="K248" s="1" t="s">
        <v>955</v>
      </c>
    </row>
    <row r="249" spans="1:15" ht="15.75" customHeight="1">
      <c r="A249" s="1" t="s">
        <v>0</v>
      </c>
      <c r="B249" s="1" t="s">
        <v>3531</v>
      </c>
      <c r="C249" s="1" t="s">
        <v>3532</v>
      </c>
      <c r="D249" s="1" t="s">
        <v>58</v>
      </c>
      <c r="E249" s="1" t="s">
        <v>3533</v>
      </c>
      <c r="F249" s="1" t="s">
        <v>3534</v>
      </c>
      <c r="G249" s="1">
        <v>58</v>
      </c>
      <c r="H249" s="1">
        <v>26</v>
      </c>
      <c r="I249" s="1">
        <v>2017</v>
      </c>
      <c r="J249" s="1">
        <v>17</v>
      </c>
      <c r="K249" s="1" t="s">
        <v>378</v>
      </c>
    </row>
    <row r="250" spans="1:15" ht="15.75" customHeight="1">
      <c r="A250" s="1" t="s">
        <v>10</v>
      </c>
      <c r="B250" s="1" t="s">
        <v>2292</v>
      </c>
      <c r="C250" s="1" t="s">
        <v>2293</v>
      </c>
      <c r="D250" s="1" t="s">
        <v>2294</v>
      </c>
      <c r="E250" s="1" t="s">
        <v>2295</v>
      </c>
      <c r="F250" s="1" t="s">
        <v>2296</v>
      </c>
      <c r="H250" s="1">
        <v>25</v>
      </c>
      <c r="I250" s="1">
        <v>2017</v>
      </c>
      <c r="J250" s="1">
        <v>24</v>
      </c>
      <c r="K250" s="1">
        <v>6</v>
      </c>
      <c r="O250" s="1" t="s">
        <v>2297</v>
      </c>
    </row>
    <row r="251" spans="1:15" ht="15.75" customHeight="1">
      <c r="A251" s="1" t="s">
        <v>10</v>
      </c>
      <c r="B251" s="1" t="s">
        <v>3413</v>
      </c>
      <c r="C251" s="1" t="s">
        <v>3414</v>
      </c>
      <c r="D251" s="1" t="s">
        <v>1500</v>
      </c>
      <c r="E251" s="1" t="s">
        <v>3415</v>
      </c>
      <c r="F251" s="1" t="s">
        <v>3416</v>
      </c>
      <c r="H251" s="1">
        <v>23</v>
      </c>
      <c r="I251" s="1">
        <v>2017</v>
      </c>
      <c r="K251" s="1">
        <v>66</v>
      </c>
    </row>
    <row r="252" spans="1:15" ht="15.75" customHeight="1">
      <c r="A252" s="1" t="s">
        <v>10</v>
      </c>
      <c r="B252" s="1" t="s">
        <v>4797</v>
      </c>
      <c r="C252" s="1" t="s">
        <v>4798</v>
      </c>
      <c r="D252" s="1" t="s">
        <v>452</v>
      </c>
      <c r="E252" s="1" t="s">
        <v>4799</v>
      </c>
      <c r="F252" s="1" t="s">
        <v>4800</v>
      </c>
      <c r="H252" s="1">
        <v>19</v>
      </c>
      <c r="I252" s="1">
        <v>2017</v>
      </c>
      <c r="J252" s="1">
        <v>53</v>
      </c>
      <c r="O252" s="1" t="s">
        <v>4801</v>
      </c>
    </row>
    <row r="253" spans="1:15" ht="15.75" customHeight="1">
      <c r="A253" s="1" t="s">
        <v>10</v>
      </c>
      <c r="B253" s="1" t="s">
        <v>1520</v>
      </c>
      <c r="C253" s="1" t="s">
        <v>1521</v>
      </c>
      <c r="D253" s="1" t="s">
        <v>1522</v>
      </c>
      <c r="E253" s="1" t="s">
        <v>1523</v>
      </c>
      <c r="F253" s="1" t="s">
        <v>1524</v>
      </c>
      <c r="H253" s="1">
        <v>17</v>
      </c>
      <c r="I253" s="1">
        <v>2017</v>
      </c>
      <c r="K253" s="1">
        <v>54</v>
      </c>
      <c r="O253" s="1" t="s">
        <v>1525</v>
      </c>
    </row>
    <row r="254" spans="1:15" ht="15.75" customHeight="1">
      <c r="A254" s="1" t="s">
        <v>0</v>
      </c>
      <c r="B254" s="1" t="s">
        <v>5792</v>
      </c>
      <c r="C254" s="1" t="s">
        <v>5793</v>
      </c>
      <c r="D254" s="1" t="s">
        <v>382</v>
      </c>
      <c r="E254" s="1" t="s">
        <v>5794</v>
      </c>
      <c r="F254" s="1" t="s">
        <v>5795</v>
      </c>
      <c r="G254" s="1">
        <v>100</v>
      </c>
      <c r="H254" s="1">
        <v>17</v>
      </c>
      <c r="I254" s="1">
        <v>2017</v>
      </c>
      <c r="J254" s="1">
        <v>11</v>
      </c>
      <c r="K254" s="1" t="s">
        <v>378</v>
      </c>
    </row>
    <row r="255" spans="1:15" ht="15.75" customHeight="1">
      <c r="A255" s="1" t="s">
        <v>10</v>
      </c>
      <c r="B255" s="1" t="s">
        <v>4112</v>
      </c>
      <c r="C255" s="1" t="s">
        <v>4113</v>
      </c>
      <c r="D255" s="2" t="s">
        <v>4114</v>
      </c>
      <c r="E255" s="1" t="s">
        <v>4115</v>
      </c>
      <c r="F255" s="1" t="s">
        <v>4116</v>
      </c>
      <c r="H255" s="1">
        <v>16</v>
      </c>
      <c r="I255" s="1">
        <v>2017</v>
      </c>
      <c r="J255" s="1">
        <v>9</v>
      </c>
      <c r="K255" s="1">
        <v>9</v>
      </c>
      <c r="O255" s="1" t="s">
        <v>4117</v>
      </c>
    </row>
    <row r="256" spans="1:15" ht="15.75" customHeight="1">
      <c r="A256" s="1" t="s">
        <v>31</v>
      </c>
      <c r="B256" s="1" t="s">
        <v>5712</v>
      </c>
      <c r="C256" s="1" t="s">
        <v>5713</v>
      </c>
      <c r="D256" s="1" t="s">
        <v>5714</v>
      </c>
      <c r="E256" s="1" t="s">
        <v>5715</v>
      </c>
      <c r="F256" s="1" t="s">
        <v>5716</v>
      </c>
      <c r="H256" s="1">
        <v>16</v>
      </c>
      <c r="I256" s="1">
        <v>2017</v>
      </c>
      <c r="O256" s="1" t="s">
        <v>5717</v>
      </c>
    </row>
    <row r="257" spans="1:16" ht="15.75" customHeight="1">
      <c r="A257" s="1" t="s">
        <v>10</v>
      </c>
      <c r="B257" s="1" t="s">
        <v>2944</v>
      </c>
      <c r="C257" s="1" t="s">
        <v>2945</v>
      </c>
      <c r="D257" s="1" t="s">
        <v>2467</v>
      </c>
      <c r="E257" s="1" t="s">
        <v>2946</v>
      </c>
      <c r="F257" s="1" t="s">
        <v>2947</v>
      </c>
      <c r="H257" s="1">
        <v>15</v>
      </c>
      <c r="I257" s="1">
        <v>2017</v>
      </c>
      <c r="J257" s="1">
        <v>17</v>
      </c>
      <c r="K257" s="1">
        <v>4</v>
      </c>
      <c r="O257" s="1" t="s">
        <v>2948</v>
      </c>
    </row>
    <row r="258" spans="1:16" ht="15.75" customHeight="1">
      <c r="A258" s="1" t="s">
        <v>10</v>
      </c>
      <c r="B258" s="1" t="s">
        <v>6878</v>
      </c>
      <c r="C258" s="1" t="s">
        <v>6879</v>
      </c>
      <c r="D258" s="1" t="s">
        <v>596</v>
      </c>
      <c r="E258" s="1" t="s">
        <v>6880</v>
      </c>
      <c r="F258" s="1" t="s">
        <v>6881</v>
      </c>
      <c r="H258" s="1">
        <v>14</v>
      </c>
      <c r="I258" s="1">
        <v>2017</v>
      </c>
      <c r="J258" s="1">
        <v>40</v>
      </c>
      <c r="K258" s="1">
        <v>4</v>
      </c>
      <c r="O258" s="1" t="s">
        <v>6882</v>
      </c>
    </row>
    <row r="259" spans="1:16" ht="15.75" customHeight="1">
      <c r="A259" s="1" t="s">
        <v>10</v>
      </c>
      <c r="B259" s="1" t="s">
        <v>2691</v>
      </c>
      <c r="C259" s="2" t="s">
        <v>2692</v>
      </c>
      <c r="D259" s="1" t="s">
        <v>503</v>
      </c>
      <c r="E259" s="1" t="s">
        <v>2693</v>
      </c>
      <c r="F259" s="1" t="s">
        <v>2694</v>
      </c>
      <c r="H259" s="1">
        <v>14</v>
      </c>
      <c r="I259" s="1">
        <v>2017</v>
      </c>
      <c r="J259" s="1">
        <v>66</v>
      </c>
      <c r="O259" s="1" t="s">
        <v>2695</v>
      </c>
    </row>
    <row r="260" spans="1:16" ht="15.75" customHeight="1">
      <c r="A260" s="1" t="s">
        <v>0</v>
      </c>
      <c r="B260" s="1" t="s">
        <v>5951</v>
      </c>
      <c r="C260" s="1" t="s">
        <v>5952</v>
      </c>
      <c r="D260" s="1" t="s">
        <v>5953</v>
      </c>
      <c r="E260" s="1" t="s">
        <v>5954</v>
      </c>
      <c r="F260" s="1" t="s">
        <v>5955</v>
      </c>
      <c r="G260" s="1">
        <v>81</v>
      </c>
      <c r="H260" s="1">
        <v>13</v>
      </c>
      <c r="I260" s="1">
        <v>2017</v>
      </c>
      <c r="J260" s="1">
        <v>60</v>
      </c>
      <c r="K260" s="1">
        <v>1</v>
      </c>
      <c r="L260" s="1">
        <v>239</v>
      </c>
      <c r="M260" s="1">
        <v>279</v>
      </c>
      <c r="N260" s="1" t="s">
        <v>6</v>
      </c>
      <c r="O260" s="1" t="s">
        <v>5956</v>
      </c>
      <c r="P260" s="3" t="str">
        <f>HYPERLINK("http://dx.doi.org/10.1590/001152582017120","http://dx.doi.org/10.1590/001152582017120")</f>
        <v>http://dx.doi.org/10.1590/001152582017120</v>
      </c>
    </row>
    <row r="261" spans="1:16" ht="15.75" customHeight="1">
      <c r="A261" s="1" t="s">
        <v>0</v>
      </c>
      <c r="B261" s="1" t="s">
        <v>1305</v>
      </c>
      <c r="C261" s="1" t="s">
        <v>1320</v>
      </c>
      <c r="D261" s="1" t="s">
        <v>1051</v>
      </c>
      <c r="E261" s="1" t="s">
        <v>1321</v>
      </c>
      <c r="F261" s="1" t="s">
        <v>1322</v>
      </c>
      <c r="G261" s="1">
        <v>84</v>
      </c>
      <c r="H261" s="1">
        <v>13</v>
      </c>
      <c r="I261" s="1">
        <v>2017</v>
      </c>
      <c r="J261" s="1">
        <v>17</v>
      </c>
      <c r="K261" s="1">
        <v>4</v>
      </c>
      <c r="L261" s="1">
        <v>554</v>
      </c>
      <c r="M261" s="1">
        <v>573</v>
      </c>
      <c r="N261" s="1" t="s">
        <v>6</v>
      </c>
      <c r="O261" s="1" t="s">
        <v>1323</v>
      </c>
      <c r="P261" s="3" t="str">
        <f>HYPERLINK("http://dx.doi.org/10.1111/glob.12161","http://dx.doi.org/10.1111/glob.12161")</f>
        <v>http://dx.doi.org/10.1111/glob.12161</v>
      </c>
    </row>
    <row r="262" spans="1:16" ht="15.75" customHeight="1">
      <c r="A262" s="1" t="s">
        <v>0</v>
      </c>
      <c r="B262" s="1" t="s">
        <v>1305</v>
      </c>
      <c r="C262" s="1" t="s">
        <v>1311</v>
      </c>
      <c r="D262" s="1" t="s">
        <v>1312</v>
      </c>
      <c r="E262" s="1" t="s">
        <v>1313</v>
      </c>
      <c r="F262" s="1" t="s">
        <v>1314</v>
      </c>
      <c r="G262" s="1">
        <v>48</v>
      </c>
      <c r="H262" s="1">
        <v>13</v>
      </c>
      <c r="I262" s="1">
        <v>2017</v>
      </c>
      <c r="J262" s="1">
        <v>18</v>
      </c>
      <c r="K262" s="1">
        <v>3</v>
      </c>
      <c r="L262" s="1">
        <v>246</v>
      </c>
      <c r="M262" s="1">
        <v>263</v>
      </c>
      <c r="N262" s="1" t="s">
        <v>6</v>
      </c>
      <c r="O262" s="1" t="s">
        <v>1315</v>
      </c>
      <c r="P262" s="3" t="str">
        <f>HYPERLINK("http://dx.doi.org/10.1080/14442213.2017.1311372","http://dx.doi.org/10.1080/14442213.2017.1311372")</f>
        <v>http://dx.doi.org/10.1080/14442213.2017.1311372</v>
      </c>
    </row>
    <row r="263" spans="1:16" ht="15.75" customHeight="1">
      <c r="A263" s="1" t="s">
        <v>0</v>
      </c>
      <c r="B263" s="1" t="s">
        <v>4986</v>
      </c>
      <c r="C263" s="1" t="s">
        <v>4987</v>
      </c>
      <c r="D263" s="1" t="s">
        <v>195</v>
      </c>
      <c r="E263" s="1" t="s">
        <v>4988</v>
      </c>
      <c r="F263" s="1" t="s">
        <v>4989</v>
      </c>
      <c r="G263" s="1">
        <v>38</v>
      </c>
      <c r="H263" s="1">
        <v>12</v>
      </c>
      <c r="I263" s="1">
        <v>2017</v>
      </c>
      <c r="J263" s="1">
        <v>49</v>
      </c>
      <c r="K263" s="1">
        <v>4</v>
      </c>
      <c r="L263" s="1">
        <v>613</v>
      </c>
      <c r="M263" s="1">
        <v>622</v>
      </c>
      <c r="N263" s="1" t="s">
        <v>6</v>
      </c>
      <c r="O263" s="1" t="s">
        <v>4990</v>
      </c>
      <c r="P263" s="3" t="str">
        <f>HYPERLINK("http://dx.doi.org/10.4067/S0717-73562017005000105","http://dx.doi.org/10.4067/S0717-73562017005000105")</f>
        <v>http://dx.doi.org/10.4067/S0717-73562017005000105</v>
      </c>
    </row>
    <row r="264" spans="1:16" ht="15.75" customHeight="1">
      <c r="A264" s="1" t="s">
        <v>10</v>
      </c>
      <c r="B264" s="1" t="s">
        <v>4586</v>
      </c>
      <c r="C264" s="1" t="s">
        <v>4587</v>
      </c>
      <c r="D264" s="2" t="s">
        <v>418</v>
      </c>
      <c r="E264" s="1" t="s">
        <v>4588</v>
      </c>
      <c r="F264" s="1" t="s">
        <v>4589</v>
      </c>
      <c r="H264" s="1">
        <v>12</v>
      </c>
      <c r="I264" s="1">
        <v>2017</v>
      </c>
      <c r="J264" s="1">
        <v>9</v>
      </c>
      <c r="K264" s="1">
        <v>1</v>
      </c>
    </row>
    <row r="265" spans="1:16" ht="15.75" customHeight="1">
      <c r="A265" s="1" t="s">
        <v>10</v>
      </c>
      <c r="B265" s="1" t="s">
        <v>2985</v>
      </c>
      <c r="C265" s="1" t="s">
        <v>2986</v>
      </c>
      <c r="D265" s="1" t="s">
        <v>2987</v>
      </c>
      <c r="E265" s="1" t="s">
        <v>2988</v>
      </c>
      <c r="F265" s="1" t="s">
        <v>2989</v>
      </c>
      <c r="H265" s="1">
        <v>11</v>
      </c>
      <c r="I265" s="1">
        <v>2017</v>
      </c>
      <c r="J265" s="1">
        <v>32</v>
      </c>
      <c r="K265" s="1">
        <v>91</v>
      </c>
      <c r="O265" s="1" t="s">
        <v>2990</v>
      </c>
    </row>
    <row r="266" spans="1:16" ht="15.75" customHeight="1">
      <c r="A266" s="1" t="s">
        <v>0</v>
      </c>
      <c r="B266" s="1" t="s">
        <v>1560</v>
      </c>
      <c r="C266" s="1" t="s">
        <v>1561</v>
      </c>
      <c r="D266" s="1" t="s">
        <v>1562</v>
      </c>
      <c r="E266" s="1" t="s">
        <v>1563</v>
      </c>
      <c r="F266" s="1" t="s">
        <v>1564</v>
      </c>
      <c r="G266" s="1">
        <v>35</v>
      </c>
      <c r="H266" s="1">
        <v>11</v>
      </c>
      <c r="I266" s="1">
        <v>2017</v>
      </c>
      <c r="J266" s="1">
        <v>29</v>
      </c>
      <c r="K266" s="1">
        <v>4</v>
      </c>
      <c r="L266" s="1">
        <v>473</v>
      </c>
      <c r="M266" s="1">
        <v>499</v>
      </c>
      <c r="N266" s="1" t="s">
        <v>6</v>
      </c>
      <c r="O266" s="1" t="s">
        <v>1565</v>
      </c>
      <c r="P266" s="3" t="str">
        <f>HYPERLINK("http://dx.doi.org/10.1002/jid.3074","http://dx.doi.org/10.1002/jid.3074")</f>
        <v>http://dx.doi.org/10.1002/jid.3074</v>
      </c>
    </row>
    <row r="267" spans="1:16" ht="15.75" customHeight="1">
      <c r="A267" s="1" t="s">
        <v>10</v>
      </c>
      <c r="B267" s="1" t="s">
        <v>3521</v>
      </c>
      <c r="C267" s="1" t="s">
        <v>3522</v>
      </c>
      <c r="D267" s="1" t="s">
        <v>3523</v>
      </c>
      <c r="E267" s="1" t="s">
        <v>3524</v>
      </c>
      <c r="F267" s="1" t="s">
        <v>3525</v>
      </c>
      <c r="H267" s="1">
        <v>10</v>
      </c>
      <c r="I267" s="1">
        <v>2017</v>
      </c>
      <c r="K267" s="1">
        <v>6</v>
      </c>
    </row>
    <row r="268" spans="1:16" ht="15.75" customHeight="1">
      <c r="A268" s="1" t="s">
        <v>10</v>
      </c>
      <c r="B268" s="1" t="s">
        <v>1471</v>
      </c>
      <c r="C268" s="1" t="s">
        <v>1472</v>
      </c>
      <c r="D268" s="1" t="s">
        <v>171</v>
      </c>
      <c r="E268" s="1" t="s">
        <v>1473</v>
      </c>
      <c r="F268" s="1" t="s">
        <v>1474</v>
      </c>
      <c r="H268" s="1">
        <v>10</v>
      </c>
      <c r="I268" s="1">
        <v>2017</v>
      </c>
      <c r="J268" s="1">
        <v>8</v>
      </c>
      <c r="K268" s="1">
        <v>2</v>
      </c>
      <c r="O268" s="1" t="s">
        <v>1475</v>
      </c>
    </row>
    <row r="269" spans="1:16" ht="15.75" customHeight="1">
      <c r="A269" s="1" t="s">
        <v>0</v>
      </c>
      <c r="B269" s="1" t="s">
        <v>1126</v>
      </c>
      <c r="C269" s="1" t="s">
        <v>1127</v>
      </c>
      <c r="D269" s="1" t="s">
        <v>1128</v>
      </c>
      <c r="E269" s="1" t="s">
        <v>1129</v>
      </c>
      <c r="F269" s="1" t="s">
        <v>1130</v>
      </c>
      <c r="G269" s="1">
        <v>31</v>
      </c>
      <c r="H269" s="1">
        <v>10</v>
      </c>
      <c r="I269" s="1">
        <v>2017</v>
      </c>
      <c r="J269" s="1">
        <v>5</v>
      </c>
      <c r="K269" s="1">
        <v>3</v>
      </c>
      <c r="L269" s="1">
        <v>304</v>
      </c>
      <c r="M269" s="1">
        <v>317</v>
      </c>
      <c r="N269" s="1" t="s">
        <v>6</v>
      </c>
      <c r="O269" s="1" t="s">
        <v>1131</v>
      </c>
      <c r="P269" s="3" t="str">
        <f>HYPERLINK("http://dx.doi.org/10.1080/21622671.2017.1306458","http://dx.doi.org/10.1080/21622671.2017.1306458")</f>
        <v>http://dx.doi.org/10.1080/21622671.2017.1306458</v>
      </c>
    </row>
    <row r="270" spans="1:16" ht="15.75" customHeight="1">
      <c r="A270" s="1" t="s">
        <v>0</v>
      </c>
      <c r="B270" s="1" t="s">
        <v>5042</v>
      </c>
      <c r="C270" s="1" t="s">
        <v>5043</v>
      </c>
      <c r="D270" s="1" t="s">
        <v>1651</v>
      </c>
      <c r="E270" s="1" t="s">
        <v>5044</v>
      </c>
      <c r="F270" s="1" t="s">
        <v>5045</v>
      </c>
      <c r="G270" s="1">
        <v>78</v>
      </c>
      <c r="H270" s="1">
        <v>9</v>
      </c>
      <c r="I270" s="1">
        <v>2017</v>
      </c>
      <c r="J270" s="1">
        <v>59</v>
      </c>
      <c r="K270" s="1">
        <v>3</v>
      </c>
      <c r="L270" s="1">
        <v>519</v>
      </c>
      <c r="M270" s="1">
        <v>549</v>
      </c>
      <c r="N270" s="1" t="s">
        <v>6</v>
      </c>
      <c r="O270" s="1" t="s">
        <v>5046</v>
      </c>
      <c r="P270" s="3" t="str">
        <f>HYPERLINK("http://dx.doi.org/10.1017/S0010417517000159","http://dx.doi.org/10.1017/S0010417517000159")</f>
        <v>http://dx.doi.org/10.1017/S0010417517000159</v>
      </c>
    </row>
    <row r="271" spans="1:16" ht="15.75" customHeight="1">
      <c r="A271" s="1" t="s">
        <v>10</v>
      </c>
      <c r="B271" s="1" t="s">
        <v>5036</v>
      </c>
      <c r="C271" s="1" t="s">
        <v>5037</v>
      </c>
      <c r="D271" s="1" t="s">
        <v>5038</v>
      </c>
      <c r="E271" s="1" t="s">
        <v>5039</v>
      </c>
      <c r="F271" s="1" t="s">
        <v>5040</v>
      </c>
      <c r="H271" s="1">
        <v>7</v>
      </c>
      <c r="I271" s="1">
        <v>2017</v>
      </c>
      <c r="J271" s="1">
        <v>58</v>
      </c>
      <c r="K271" s="1">
        <v>1</v>
      </c>
      <c r="O271" s="1" t="s">
        <v>5041</v>
      </c>
    </row>
    <row r="272" spans="1:16" ht="15.75" customHeight="1">
      <c r="A272" s="1" t="s">
        <v>0</v>
      </c>
      <c r="B272" s="1" t="s">
        <v>5975</v>
      </c>
      <c r="C272" s="1" t="s">
        <v>5976</v>
      </c>
      <c r="D272" s="1" t="s">
        <v>963</v>
      </c>
      <c r="E272" s="8" t="s">
        <v>7117</v>
      </c>
      <c r="F272" s="1" t="s">
        <v>5977</v>
      </c>
      <c r="G272" s="1">
        <v>61</v>
      </c>
      <c r="H272" s="1">
        <v>6</v>
      </c>
      <c r="I272" s="1">
        <v>2017</v>
      </c>
      <c r="J272" s="1">
        <v>55</v>
      </c>
      <c r="K272" s="1">
        <v>6</v>
      </c>
      <c r="L272" s="1">
        <v>200</v>
      </c>
      <c r="M272" s="1">
        <v>215</v>
      </c>
      <c r="N272" s="1" t="s">
        <v>6</v>
      </c>
      <c r="O272" s="1" t="s">
        <v>5978</v>
      </c>
      <c r="P272" s="3" t="str">
        <f>HYPERLINK("http://dx.doi.org/10.1111/imig.12390","http://dx.doi.org/10.1111/imig.12390")</f>
        <v>http://dx.doi.org/10.1111/imig.12390</v>
      </c>
    </row>
    <row r="273" spans="1:16" ht="15.75" customHeight="1">
      <c r="A273" s="1" t="s">
        <v>10</v>
      </c>
      <c r="B273" s="1" t="s">
        <v>2370</v>
      </c>
      <c r="C273" s="1" t="s">
        <v>2371</v>
      </c>
      <c r="D273" s="1" t="s">
        <v>2372</v>
      </c>
      <c r="E273" s="1" t="s">
        <v>2373</v>
      </c>
      <c r="F273" s="1" t="s">
        <v>2374</v>
      </c>
      <c r="H273" s="1">
        <v>6</v>
      </c>
      <c r="I273" s="1">
        <v>2017</v>
      </c>
      <c r="J273" s="1" t="s">
        <v>2375</v>
      </c>
      <c r="K273" s="1">
        <v>68</v>
      </c>
    </row>
    <row r="274" spans="1:16" ht="15.75" customHeight="1">
      <c r="A274" s="1" t="s">
        <v>0</v>
      </c>
      <c r="B274" s="1" t="s">
        <v>4118</v>
      </c>
      <c r="C274" s="1" t="s">
        <v>4119</v>
      </c>
      <c r="D274" s="1" t="s">
        <v>264</v>
      </c>
      <c r="E274" s="1" t="s">
        <v>4120</v>
      </c>
      <c r="F274" s="1" t="s">
        <v>4121</v>
      </c>
      <c r="G274" s="1">
        <v>37</v>
      </c>
      <c r="H274" s="1">
        <v>6</v>
      </c>
      <c r="I274" s="1">
        <v>2017</v>
      </c>
      <c r="J274" s="1">
        <v>43</v>
      </c>
      <c r="K274" s="1">
        <v>9</v>
      </c>
      <c r="L274" s="1">
        <v>1580</v>
      </c>
      <c r="M274" s="1">
        <v>1596</v>
      </c>
      <c r="N274" s="1" t="s">
        <v>6</v>
      </c>
      <c r="O274" s="1" t="s">
        <v>4122</v>
      </c>
      <c r="P274" s="3" t="str">
        <f>HYPERLINK("http://dx.doi.org/10.1080/1369183X.2016.1232159","http://dx.doi.org/10.1080/1369183X.2016.1232159")</f>
        <v>http://dx.doi.org/10.1080/1369183X.2016.1232159</v>
      </c>
    </row>
    <row r="275" spans="1:16" ht="15.75" customHeight="1">
      <c r="A275" s="1" t="s">
        <v>0</v>
      </c>
      <c r="B275" s="1" t="s">
        <v>3793</v>
      </c>
      <c r="C275" s="1" t="s">
        <v>3794</v>
      </c>
      <c r="D275" s="2" t="s">
        <v>418</v>
      </c>
      <c r="E275" s="1" t="s">
        <v>3795</v>
      </c>
      <c r="F275" s="1" t="s">
        <v>3796</v>
      </c>
      <c r="G275" s="1">
        <v>39</v>
      </c>
      <c r="H275" s="1">
        <v>6</v>
      </c>
      <c r="I275" s="1">
        <v>2017</v>
      </c>
      <c r="J275" s="1">
        <v>9</v>
      </c>
      <c r="K275" s="1" t="s">
        <v>378</v>
      </c>
    </row>
    <row r="276" spans="1:16" ht="15.75" customHeight="1">
      <c r="A276" s="1" t="s">
        <v>0</v>
      </c>
      <c r="B276" s="1" t="s">
        <v>2169</v>
      </c>
      <c r="C276" s="1" t="s">
        <v>2170</v>
      </c>
      <c r="D276" s="1" t="s">
        <v>696</v>
      </c>
      <c r="E276" s="1" t="s">
        <v>2171</v>
      </c>
      <c r="F276" s="1" t="s">
        <v>2172</v>
      </c>
      <c r="G276" s="1">
        <v>28</v>
      </c>
      <c r="H276" s="1">
        <v>6</v>
      </c>
      <c r="I276" s="1">
        <v>2017</v>
      </c>
      <c r="J276" s="1">
        <v>16</v>
      </c>
      <c r="K276" s="1">
        <v>5</v>
      </c>
      <c r="L276" s="1" t="s">
        <v>6</v>
      </c>
      <c r="M276" s="1" t="s">
        <v>6</v>
      </c>
      <c r="N276" s="1" t="s">
        <v>6</v>
      </c>
      <c r="O276" s="1" t="s">
        <v>2173</v>
      </c>
      <c r="P276" s="3" t="str">
        <f>HYPERLINK("http://dx.doi.org/10.11144/Javeriana.upsy16-5.cibs","http://dx.doi.org/10.11144/Javeriana.upsy16-5.cibs")</f>
        <v>http://dx.doi.org/10.11144/Javeriana.upsy16-5.cibs</v>
      </c>
    </row>
    <row r="277" spans="1:16" ht="15.75" customHeight="1">
      <c r="A277" s="1" t="s">
        <v>10</v>
      </c>
      <c r="B277" s="1" t="s">
        <v>4777</v>
      </c>
      <c r="C277" s="2" t="s">
        <v>4778</v>
      </c>
      <c r="D277" s="1" t="s">
        <v>1500</v>
      </c>
      <c r="E277" s="1" t="s">
        <v>4779</v>
      </c>
      <c r="F277" s="1" t="s">
        <v>4780</v>
      </c>
      <c r="H277" s="1">
        <v>5</v>
      </c>
      <c r="I277" s="1">
        <v>2017</v>
      </c>
      <c r="K277" s="1">
        <v>67</v>
      </c>
    </row>
    <row r="278" spans="1:16" ht="15.75" customHeight="1">
      <c r="A278" s="1" t="s">
        <v>0</v>
      </c>
      <c r="B278" s="1" t="s">
        <v>280</v>
      </c>
      <c r="C278" s="1" t="s">
        <v>281</v>
      </c>
      <c r="D278" s="1" t="s">
        <v>282</v>
      </c>
      <c r="E278" s="1" t="s">
        <v>283</v>
      </c>
      <c r="F278" s="1" t="s">
        <v>284</v>
      </c>
      <c r="G278" s="1">
        <v>25</v>
      </c>
      <c r="H278" s="1">
        <v>5</v>
      </c>
      <c r="I278" s="1">
        <v>2017</v>
      </c>
      <c r="J278" s="1">
        <v>27</v>
      </c>
      <c r="K278" s="1" t="s">
        <v>61</v>
      </c>
      <c r="O278" s="1" t="s">
        <v>285</v>
      </c>
    </row>
    <row r="279" spans="1:16" ht="15.75" customHeight="1">
      <c r="A279" s="1" t="s">
        <v>10</v>
      </c>
      <c r="B279" s="1" t="s">
        <v>2979</v>
      </c>
      <c r="C279" s="1" t="s">
        <v>2980</v>
      </c>
      <c r="D279" s="1" t="s">
        <v>2981</v>
      </c>
      <c r="E279" s="1" t="s">
        <v>2982</v>
      </c>
      <c r="F279" s="1" t="s">
        <v>2983</v>
      </c>
      <c r="H279" s="1">
        <v>4</v>
      </c>
      <c r="I279" s="1">
        <v>2017</v>
      </c>
      <c r="J279" s="1">
        <v>25</v>
      </c>
      <c r="K279" s="1">
        <v>2</v>
      </c>
      <c r="O279" s="1" t="s">
        <v>2984</v>
      </c>
    </row>
    <row r="280" spans="1:16" ht="15.75" customHeight="1">
      <c r="A280" s="1" t="s">
        <v>10</v>
      </c>
      <c r="B280" s="1" t="s">
        <v>5074</v>
      </c>
      <c r="C280" s="1" t="s">
        <v>5075</v>
      </c>
      <c r="D280" s="1" t="s">
        <v>70</v>
      </c>
      <c r="E280" s="1" t="s">
        <v>5076</v>
      </c>
      <c r="F280" s="1" t="s">
        <v>5077</v>
      </c>
      <c r="H280" s="1">
        <v>4</v>
      </c>
      <c r="I280" s="1">
        <v>2017</v>
      </c>
      <c r="J280" s="1">
        <v>9</v>
      </c>
      <c r="K280" s="1">
        <v>2</v>
      </c>
      <c r="O280" s="1" t="s">
        <v>5078</v>
      </c>
    </row>
    <row r="281" spans="1:16" ht="15.75" customHeight="1">
      <c r="A281" s="1" t="s">
        <v>0</v>
      </c>
      <c r="B281" s="1" t="s">
        <v>5823</v>
      </c>
      <c r="C281" s="1" t="s">
        <v>5824</v>
      </c>
      <c r="D281" s="1" t="s">
        <v>282</v>
      </c>
      <c r="E281" s="1" t="s">
        <v>5825</v>
      </c>
      <c r="F281" s="1" t="s">
        <v>5826</v>
      </c>
      <c r="G281" s="1">
        <v>60</v>
      </c>
      <c r="H281" s="1">
        <v>4</v>
      </c>
      <c r="I281" s="1">
        <v>2017</v>
      </c>
      <c r="J281" s="1">
        <v>27</v>
      </c>
      <c r="K281" s="1" t="s">
        <v>61</v>
      </c>
      <c r="O281" s="1" t="s">
        <v>5827</v>
      </c>
    </row>
    <row r="282" spans="1:16" ht="15.75" customHeight="1">
      <c r="A282" s="1" t="s">
        <v>0</v>
      </c>
      <c r="B282" s="1" t="s">
        <v>7014</v>
      </c>
      <c r="C282" s="1" t="s">
        <v>7015</v>
      </c>
      <c r="D282" s="1" t="s">
        <v>7016</v>
      </c>
      <c r="E282" s="1" t="s">
        <v>7017</v>
      </c>
      <c r="F282" s="1" t="s">
        <v>7018</v>
      </c>
      <c r="G282" s="1">
        <v>2</v>
      </c>
      <c r="H282" s="1">
        <v>4</v>
      </c>
      <c r="I282" s="1">
        <v>2017</v>
      </c>
      <c r="J282" s="1">
        <v>23</v>
      </c>
      <c r="K282" s="1">
        <v>5</v>
      </c>
      <c r="L282" s="1">
        <v>352</v>
      </c>
      <c r="M282" s="1">
        <v>354</v>
      </c>
      <c r="N282" s="1" t="s">
        <v>6</v>
      </c>
      <c r="O282" s="1" t="s">
        <v>7019</v>
      </c>
      <c r="P282" s="3" t="str">
        <f>HYPERLINK("http://dx.doi.org/10.1177/1077800416659087","http://dx.doi.org/10.1177/1077800416659087")</f>
        <v>http://dx.doi.org/10.1177/1077800416659087</v>
      </c>
    </row>
    <row r="283" spans="1:16" ht="15.75" customHeight="1">
      <c r="A283" s="1" t="s">
        <v>10</v>
      </c>
      <c r="B283" s="1" t="s">
        <v>2584</v>
      </c>
      <c r="C283" s="1" t="s">
        <v>2585</v>
      </c>
      <c r="D283" s="1" t="s">
        <v>2586</v>
      </c>
      <c r="E283" s="1" t="s">
        <v>2587</v>
      </c>
      <c r="F283" s="1" t="s">
        <v>2588</v>
      </c>
      <c r="H283" s="1">
        <v>3</v>
      </c>
      <c r="I283" s="1">
        <v>2017</v>
      </c>
      <c r="K283" s="1">
        <v>19</v>
      </c>
    </row>
    <row r="284" spans="1:16" ht="15.75" customHeight="1">
      <c r="A284" s="1" t="s">
        <v>0</v>
      </c>
      <c r="B284" s="1" t="s">
        <v>3284</v>
      </c>
      <c r="C284" s="1" t="s">
        <v>3285</v>
      </c>
      <c r="D284" s="1" t="s">
        <v>106</v>
      </c>
      <c r="E284" s="1" t="s">
        <v>3286</v>
      </c>
      <c r="F284" s="1" t="s">
        <v>3287</v>
      </c>
      <c r="G284" s="1">
        <v>20</v>
      </c>
      <c r="H284" s="1">
        <v>3</v>
      </c>
      <c r="I284" s="1">
        <v>2017</v>
      </c>
      <c r="J284" s="1">
        <v>17</v>
      </c>
      <c r="K284" s="1" t="s">
        <v>378</v>
      </c>
      <c r="O284" s="1" t="s">
        <v>3288</v>
      </c>
    </row>
    <row r="285" spans="1:16" ht="15.75" customHeight="1">
      <c r="A285" s="1" t="s">
        <v>0</v>
      </c>
      <c r="B285" s="1" t="s">
        <v>3971</v>
      </c>
      <c r="C285" s="1" t="s">
        <v>3972</v>
      </c>
      <c r="D285" s="1" t="s">
        <v>2022</v>
      </c>
      <c r="E285" s="1" t="s">
        <v>3973</v>
      </c>
      <c r="F285" s="1" t="s">
        <v>3974</v>
      </c>
      <c r="G285" s="1">
        <v>40</v>
      </c>
      <c r="H285" s="1">
        <v>3</v>
      </c>
      <c r="I285" s="1">
        <v>2017</v>
      </c>
      <c r="J285" s="1" t="s">
        <v>6</v>
      </c>
      <c r="K285" s="1">
        <v>67</v>
      </c>
      <c r="L285" s="1">
        <v>211</v>
      </c>
      <c r="M285" s="1">
        <v>233</v>
      </c>
      <c r="N285" s="1" t="s">
        <v>6</v>
      </c>
      <c r="O285" s="1" t="s">
        <v>3975</v>
      </c>
      <c r="P285" s="3" t="str">
        <f>HYPERLINK("http://dx.doi.org/10.4067/S0718-34022017000200011","http://dx.doi.org/10.4067/S0718-34022017000200011")</f>
        <v>http://dx.doi.org/10.4067/S0718-34022017000200011</v>
      </c>
    </row>
    <row r="286" spans="1:16" ht="15.75" customHeight="1">
      <c r="A286" s="1" t="s">
        <v>0</v>
      </c>
      <c r="B286" s="1" t="s">
        <v>4781</v>
      </c>
      <c r="C286" s="1" t="s">
        <v>4782</v>
      </c>
      <c r="D286" s="1" t="s">
        <v>4783</v>
      </c>
      <c r="E286" s="1" t="s">
        <v>4784</v>
      </c>
      <c r="F286" s="1" t="s">
        <v>4785</v>
      </c>
      <c r="G286" s="1">
        <v>40</v>
      </c>
      <c r="H286" s="1">
        <v>3</v>
      </c>
      <c r="I286" s="1">
        <v>2017</v>
      </c>
      <c r="K286" s="1" t="s">
        <v>396</v>
      </c>
    </row>
    <row r="287" spans="1:16" ht="15.75" customHeight="1">
      <c r="A287" s="1" t="s">
        <v>10</v>
      </c>
      <c r="B287" s="1" t="s">
        <v>525</v>
      </c>
      <c r="C287" s="1" t="s">
        <v>526</v>
      </c>
      <c r="D287" s="1" t="s">
        <v>527</v>
      </c>
      <c r="E287" s="1" t="s">
        <v>528</v>
      </c>
      <c r="F287" s="1" t="s">
        <v>529</v>
      </c>
      <c r="H287" s="1">
        <v>2</v>
      </c>
      <c r="I287" s="1">
        <v>2017</v>
      </c>
      <c r="J287" s="1">
        <v>29</v>
      </c>
      <c r="K287" s="1">
        <v>4</v>
      </c>
      <c r="O287" s="1" t="s">
        <v>530</v>
      </c>
    </row>
    <row r="288" spans="1:16" ht="15.75" customHeight="1">
      <c r="A288" s="1" t="s">
        <v>10</v>
      </c>
      <c r="B288" s="1" t="s">
        <v>5183</v>
      </c>
      <c r="C288" s="1" t="s">
        <v>5184</v>
      </c>
      <c r="D288" s="1" t="s">
        <v>3917</v>
      </c>
      <c r="E288" s="1" t="s">
        <v>5185</v>
      </c>
      <c r="F288" s="1" t="s">
        <v>2572</v>
      </c>
      <c r="H288" s="1">
        <v>2</v>
      </c>
      <c r="I288" s="1">
        <v>2017</v>
      </c>
      <c r="J288" s="1">
        <v>1</v>
      </c>
      <c r="K288" s="1">
        <v>54</v>
      </c>
    </row>
    <row r="289" spans="1:16" ht="15.75" customHeight="1">
      <c r="A289" s="1" t="s">
        <v>10</v>
      </c>
      <c r="B289" s="1" t="s">
        <v>5426</v>
      </c>
      <c r="C289" s="1" t="s">
        <v>5427</v>
      </c>
      <c r="D289" s="1" t="s">
        <v>5428</v>
      </c>
      <c r="E289" s="1" t="s">
        <v>5429</v>
      </c>
      <c r="F289" s="1" t="s">
        <v>5430</v>
      </c>
      <c r="H289" s="1">
        <v>2</v>
      </c>
      <c r="I289" s="1">
        <v>2017</v>
      </c>
      <c r="K289" s="1">
        <v>10</v>
      </c>
    </row>
    <row r="290" spans="1:16" ht="15.75" customHeight="1">
      <c r="A290" s="1" t="s">
        <v>10</v>
      </c>
      <c r="B290" s="1" t="s">
        <v>1666</v>
      </c>
      <c r="C290" s="1" t="s">
        <v>1667</v>
      </c>
      <c r="D290" s="1" t="s">
        <v>1668</v>
      </c>
      <c r="E290" s="1" t="s">
        <v>1669</v>
      </c>
      <c r="F290" s="1" t="s">
        <v>1670</v>
      </c>
      <c r="H290" s="1">
        <v>2</v>
      </c>
      <c r="I290" s="1">
        <v>2017</v>
      </c>
      <c r="K290" s="1">
        <v>37</v>
      </c>
    </row>
    <row r="291" spans="1:16" ht="15.75" customHeight="1">
      <c r="A291" s="1" t="s">
        <v>0</v>
      </c>
      <c r="B291" s="1" t="s">
        <v>2915</v>
      </c>
      <c r="C291" s="1" t="s">
        <v>2916</v>
      </c>
      <c r="D291" s="1" t="s">
        <v>2917</v>
      </c>
      <c r="E291" s="1" t="s">
        <v>2918</v>
      </c>
      <c r="F291" s="1" t="s">
        <v>2919</v>
      </c>
      <c r="G291" s="1">
        <v>42</v>
      </c>
      <c r="H291" s="1">
        <v>2</v>
      </c>
      <c r="I291" s="1">
        <v>2017</v>
      </c>
      <c r="J291" s="1">
        <v>148</v>
      </c>
      <c r="K291" s="1">
        <v>1</v>
      </c>
      <c r="L291" s="1">
        <v>27</v>
      </c>
      <c r="M291" s="1">
        <v>38</v>
      </c>
      <c r="N291" s="1" t="s">
        <v>6</v>
      </c>
      <c r="O291" s="1" t="s">
        <v>2920</v>
      </c>
      <c r="P291" s="3" t="str">
        <f>HYPERLINK("http://dx.doi.org/10.12854/erde-148-28","http://dx.doi.org/10.12854/erde-148-28")</f>
        <v>http://dx.doi.org/10.12854/erde-148-28</v>
      </c>
    </row>
    <row r="292" spans="1:16" ht="15.75" customHeight="1">
      <c r="A292" s="1" t="s">
        <v>0</v>
      </c>
      <c r="B292" s="1" t="s">
        <v>6365</v>
      </c>
      <c r="C292" s="1" t="s">
        <v>6366</v>
      </c>
      <c r="D292" s="1" t="s">
        <v>2022</v>
      </c>
      <c r="E292" s="1" t="s">
        <v>6367</v>
      </c>
      <c r="F292" s="1" t="s">
        <v>6368</v>
      </c>
      <c r="G292" s="1">
        <v>50</v>
      </c>
      <c r="H292" s="1">
        <v>1</v>
      </c>
      <c r="I292" s="1">
        <v>2017</v>
      </c>
      <c r="J292" s="1" t="s">
        <v>6</v>
      </c>
      <c r="K292" s="1">
        <v>66</v>
      </c>
      <c r="L292" s="1">
        <v>117</v>
      </c>
      <c r="M292" s="1">
        <v>141</v>
      </c>
      <c r="N292" s="1" t="s">
        <v>6</v>
      </c>
      <c r="O292" s="1" t="s">
        <v>6</v>
      </c>
      <c r="P292" s="1" t="s">
        <v>6</v>
      </c>
    </row>
    <row r="293" spans="1:16" ht="15.75" customHeight="1">
      <c r="A293" s="1" t="s">
        <v>0</v>
      </c>
      <c r="B293" s="1" t="s">
        <v>5623</v>
      </c>
      <c r="C293" s="1" t="s">
        <v>5624</v>
      </c>
      <c r="D293" s="1" t="s">
        <v>1933</v>
      </c>
      <c r="E293" s="1" t="s">
        <v>5625</v>
      </c>
      <c r="F293" s="1" t="s">
        <v>5626</v>
      </c>
      <c r="G293" s="1">
        <v>49</v>
      </c>
      <c r="H293" s="1">
        <v>1</v>
      </c>
      <c r="I293" s="1">
        <v>2017</v>
      </c>
      <c r="J293" s="1">
        <v>43</v>
      </c>
      <c r="K293" s="1">
        <v>128</v>
      </c>
      <c r="L293" s="1" t="s">
        <v>6</v>
      </c>
      <c r="M293" s="1" t="s">
        <v>6</v>
      </c>
      <c r="N293" s="1" t="s">
        <v>6</v>
      </c>
      <c r="O293" s="1" t="s">
        <v>6</v>
      </c>
      <c r="P293" s="1" t="s">
        <v>6</v>
      </c>
    </row>
    <row r="294" spans="1:16" ht="15.75" customHeight="1">
      <c r="A294" s="1" t="s">
        <v>0</v>
      </c>
      <c r="B294" s="1" t="s">
        <v>1305</v>
      </c>
      <c r="C294" s="1" t="s">
        <v>1334</v>
      </c>
      <c r="D294" s="1" t="s">
        <v>206</v>
      </c>
      <c r="E294" s="1" t="s">
        <v>1335</v>
      </c>
      <c r="F294" s="1" t="s">
        <v>1336</v>
      </c>
      <c r="G294" s="1">
        <v>74</v>
      </c>
      <c r="H294" s="1">
        <v>1</v>
      </c>
      <c r="I294" s="1">
        <v>2017</v>
      </c>
      <c r="J294" s="1" t="s">
        <v>6</v>
      </c>
      <c r="K294" s="1">
        <v>59</v>
      </c>
      <c r="L294" s="1">
        <v>30</v>
      </c>
      <c r="M294" s="1">
        <v>43</v>
      </c>
      <c r="N294" s="1" t="s">
        <v>6</v>
      </c>
      <c r="O294" s="1" t="s">
        <v>1337</v>
      </c>
      <c r="P294" s="3" t="str">
        <f>HYPERLINK("http://dx.doi.org/10.7440/res59.2017.03","http://dx.doi.org/10.7440/res59.2017.03")</f>
        <v>http://dx.doi.org/10.7440/res59.2017.03</v>
      </c>
    </row>
    <row r="295" spans="1:16" ht="15.75" customHeight="1">
      <c r="A295" s="1" t="s">
        <v>0</v>
      </c>
      <c r="B295" s="1" t="s">
        <v>2569</v>
      </c>
      <c r="C295" s="1" t="s">
        <v>2570</v>
      </c>
      <c r="D295" s="1" t="s">
        <v>201</v>
      </c>
      <c r="E295" s="1" t="s">
        <v>2571</v>
      </c>
      <c r="F295" s="1" t="s">
        <v>2572</v>
      </c>
      <c r="G295" s="1">
        <v>89</v>
      </c>
      <c r="H295" s="1">
        <v>0</v>
      </c>
      <c r="I295" s="1">
        <v>2017</v>
      </c>
      <c r="J295" s="1" t="s">
        <v>6</v>
      </c>
      <c r="K295" s="1">
        <v>54</v>
      </c>
      <c r="L295" s="1">
        <v>153</v>
      </c>
      <c r="M295" s="1">
        <v>177</v>
      </c>
      <c r="N295" s="1" t="s">
        <v>6</v>
      </c>
      <c r="O295" s="1" t="s">
        <v>6</v>
      </c>
      <c r="P295" s="1" t="s">
        <v>6</v>
      </c>
    </row>
    <row r="296" spans="1:16" ht="15.75" customHeight="1">
      <c r="A296" s="1" t="s">
        <v>0</v>
      </c>
      <c r="B296" s="1" t="s">
        <v>5105</v>
      </c>
      <c r="C296" s="1" t="s">
        <v>5106</v>
      </c>
      <c r="D296" s="1" t="s">
        <v>195</v>
      </c>
      <c r="E296" s="1" t="s">
        <v>5107</v>
      </c>
      <c r="F296" s="1" t="s">
        <v>5108</v>
      </c>
      <c r="G296" s="1">
        <v>48</v>
      </c>
      <c r="H296" s="1">
        <v>0</v>
      </c>
      <c r="I296" s="1">
        <v>2017</v>
      </c>
      <c r="J296" s="1">
        <v>49</v>
      </c>
      <c r="K296" s="1">
        <v>1</v>
      </c>
      <c r="L296" s="1">
        <v>121</v>
      </c>
      <c r="M296" s="1">
        <v>132</v>
      </c>
      <c r="N296" s="1" t="s">
        <v>6</v>
      </c>
      <c r="O296" s="1" t="s">
        <v>5109</v>
      </c>
      <c r="P296" s="3" t="str">
        <f>HYPERLINK("http://dx.doi.org/10.4067/S0717-73562017005000002","http://dx.doi.org/10.4067/S0717-73562017005000002")</f>
        <v>http://dx.doi.org/10.4067/S0717-73562017005000002</v>
      </c>
    </row>
    <row r="297" spans="1:16" ht="15.75" customHeight="1">
      <c r="A297" s="1" t="s">
        <v>10</v>
      </c>
      <c r="B297" s="1" t="s">
        <v>4351</v>
      </c>
      <c r="C297" s="1" t="s">
        <v>4352</v>
      </c>
      <c r="D297" s="1" t="s">
        <v>1500</v>
      </c>
      <c r="E297" s="1" t="s">
        <v>4353</v>
      </c>
      <c r="F297" s="1" t="s">
        <v>4354</v>
      </c>
      <c r="H297" s="1">
        <v>0</v>
      </c>
      <c r="I297" s="1">
        <v>2017</v>
      </c>
      <c r="K297" s="1">
        <v>66</v>
      </c>
    </row>
    <row r="298" spans="1:16" ht="15.75" customHeight="1">
      <c r="A298" s="1" t="s">
        <v>0</v>
      </c>
      <c r="B298" s="1" t="s">
        <v>3801</v>
      </c>
      <c r="C298" s="1" t="s">
        <v>3802</v>
      </c>
      <c r="D298" s="1" t="s">
        <v>1009</v>
      </c>
      <c r="E298" s="1" t="s">
        <v>3803</v>
      </c>
      <c r="F298" s="1" t="s">
        <v>3804</v>
      </c>
      <c r="G298" s="1">
        <v>97</v>
      </c>
      <c r="H298" s="1">
        <v>0</v>
      </c>
      <c r="I298" s="1">
        <v>2017</v>
      </c>
      <c r="J298" s="1">
        <v>23</v>
      </c>
      <c r="K298" s="1">
        <v>94</v>
      </c>
      <c r="L298" s="1">
        <v>125</v>
      </c>
      <c r="M298" s="1">
        <v>165</v>
      </c>
      <c r="N298" s="1" t="s">
        <v>6</v>
      </c>
      <c r="O298" s="1" t="s">
        <v>3805</v>
      </c>
      <c r="P298" s="3" t="str">
        <f>HYPERLINK("http://dx.doi.org/10.22185/24487147.2017.94.034","http://dx.doi.org/10.22185/24487147.2017.94.034")</f>
        <v>http://dx.doi.org/10.22185/24487147.2017.94.034</v>
      </c>
    </row>
    <row r="299" spans="1:16" ht="15.75" customHeight="1">
      <c r="A299" s="1" t="s">
        <v>0</v>
      </c>
      <c r="B299" s="1" t="s">
        <v>5494</v>
      </c>
      <c r="C299" s="1" t="s">
        <v>5495</v>
      </c>
      <c r="D299" s="1" t="s">
        <v>696</v>
      </c>
      <c r="E299" s="1" t="s">
        <v>5496</v>
      </c>
      <c r="F299" s="1" t="s">
        <v>5497</v>
      </c>
      <c r="G299" s="1">
        <v>59</v>
      </c>
      <c r="H299" s="1">
        <v>0</v>
      </c>
      <c r="I299" s="1">
        <v>2017</v>
      </c>
      <c r="J299" s="1">
        <v>16</v>
      </c>
      <c r="K299" s="1">
        <v>5</v>
      </c>
      <c r="L299" s="1" t="s">
        <v>6</v>
      </c>
      <c r="M299" s="1" t="s">
        <v>6</v>
      </c>
      <c r="N299" s="1" t="s">
        <v>6</v>
      </c>
      <c r="O299" s="1" t="s">
        <v>5498</v>
      </c>
      <c r="P299" s="3" t="str">
        <f>HYPERLINK("http://dx.doi.org/10.11144/Javeriana.upsy16-5.mcto","http://dx.doi.org/10.11144/Javeriana.upsy16-5.mcto")</f>
        <v>http://dx.doi.org/10.11144/Javeriana.upsy16-5.mcto</v>
      </c>
    </row>
    <row r="300" spans="1:16" ht="15.75" customHeight="1">
      <c r="A300" s="1" t="s">
        <v>0</v>
      </c>
      <c r="B300" s="1" t="s">
        <v>1195</v>
      </c>
      <c r="C300" s="1" t="s">
        <v>1196</v>
      </c>
      <c r="D300" s="1" t="s">
        <v>696</v>
      </c>
      <c r="E300" s="1" t="s">
        <v>1197</v>
      </c>
      <c r="F300" s="1" t="s">
        <v>1198</v>
      </c>
      <c r="G300" s="1">
        <v>52</v>
      </c>
      <c r="H300" s="1">
        <v>0</v>
      </c>
      <c r="I300" s="1">
        <v>2017</v>
      </c>
      <c r="J300" s="1">
        <v>16</v>
      </c>
      <c r="K300" s="1">
        <v>5</v>
      </c>
      <c r="L300" s="1" t="s">
        <v>6</v>
      </c>
      <c r="M300" s="1" t="s">
        <v>6</v>
      </c>
      <c r="N300" s="1" t="s">
        <v>6</v>
      </c>
      <c r="O300" s="1" t="s">
        <v>1199</v>
      </c>
      <c r="P300" s="3" t="str">
        <f>HYPERLINK("http://dx.doi.org/10.11144/Javeriana.upsy16-5.ipet","http://dx.doi.org/10.11144/Javeriana.upsy16-5.ipet")</f>
        <v>http://dx.doi.org/10.11144/Javeriana.upsy16-5.ipet</v>
      </c>
    </row>
    <row r="301" spans="1:16" ht="15.75" customHeight="1">
      <c r="A301" s="1" t="s">
        <v>0</v>
      </c>
      <c r="B301" s="1" t="s">
        <v>6820</v>
      </c>
      <c r="C301" s="1" t="s">
        <v>6821</v>
      </c>
      <c r="D301" s="1" t="s">
        <v>4613</v>
      </c>
      <c r="E301" s="1" t="s">
        <v>6822</v>
      </c>
      <c r="F301" s="1" t="s">
        <v>6823</v>
      </c>
      <c r="G301" s="1">
        <v>37</v>
      </c>
      <c r="H301" s="1">
        <v>0</v>
      </c>
      <c r="I301" s="1">
        <v>2017</v>
      </c>
      <c r="K301" s="1" t="s">
        <v>6824</v>
      </c>
    </row>
    <row r="302" spans="1:16" ht="15.75" customHeight="1">
      <c r="A302" s="1" t="s">
        <v>0</v>
      </c>
      <c r="B302" s="1" t="s">
        <v>5064</v>
      </c>
      <c r="C302" s="1" t="s">
        <v>5065</v>
      </c>
      <c r="D302" s="1" t="s">
        <v>696</v>
      </c>
      <c r="E302" s="1" t="s">
        <v>5066</v>
      </c>
      <c r="F302" s="1" t="s">
        <v>5067</v>
      </c>
      <c r="G302" s="1">
        <v>38</v>
      </c>
      <c r="H302" s="1">
        <v>0</v>
      </c>
      <c r="I302" s="1">
        <v>2017</v>
      </c>
      <c r="J302" s="1">
        <v>16</v>
      </c>
      <c r="K302" s="1">
        <v>5</v>
      </c>
      <c r="L302" s="1" t="s">
        <v>6</v>
      </c>
      <c r="M302" s="1" t="s">
        <v>6</v>
      </c>
      <c r="N302" s="1" t="s">
        <v>6</v>
      </c>
      <c r="O302" s="1" t="s">
        <v>5068</v>
      </c>
      <c r="P302" s="3" t="str">
        <f>HYPERLINK("http://dx.doi.org/10.11144/Javeriana.upsy16-5.fvlr","http://dx.doi.org/10.11144/Javeriana.upsy16-5.fvlr")</f>
        <v>http://dx.doi.org/10.11144/Javeriana.upsy16-5.fvlr</v>
      </c>
    </row>
    <row r="303" spans="1:16" ht="15.75" customHeight="1">
      <c r="A303" s="1" t="s">
        <v>0</v>
      </c>
      <c r="B303" s="1" t="s">
        <v>5907</v>
      </c>
      <c r="C303" s="1" t="s">
        <v>5908</v>
      </c>
      <c r="D303" s="1" t="s">
        <v>1639</v>
      </c>
      <c r="E303" s="1" t="s">
        <v>5909</v>
      </c>
      <c r="F303" s="1" t="s">
        <v>5910</v>
      </c>
      <c r="G303" s="1">
        <v>35</v>
      </c>
      <c r="H303" s="1">
        <v>0</v>
      </c>
      <c r="I303" s="1">
        <v>2017</v>
      </c>
      <c r="J303" s="1">
        <v>14</v>
      </c>
      <c r="K303" s="1">
        <v>34</v>
      </c>
      <c r="L303" s="1">
        <v>283</v>
      </c>
      <c r="M303" s="1">
        <v>303</v>
      </c>
      <c r="N303" s="1" t="s">
        <v>6</v>
      </c>
      <c r="O303" s="1" t="s">
        <v>6</v>
      </c>
      <c r="P303" s="1" t="s">
        <v>6</v>
      </c>
    </row>
    <row r="304" spans="1:16" ht="15.75" customHeight="1">
      <c r="A304" s="1" t="s">
        <v>0</v>
      </c>
      <c r="B304" s="1" t="s">
        <v>6548</v>
      </c>
      <c r="C304" s="1" t="s">
        <v>6549</v>
      </c>
      <c r="D304" s="1" t="s">
        <v>52</v>
      </c>
      <c r="E304" s="1" t="s">
        <v>6550</v>
      </c>
      <c r="F304" s="1" t="s">
        <v>6551</v>
      </c>
      <c r="G304" s="1">
        <v>51</v>
      </c>
      <c r="H304" s="1">
        <v>167</v>
      </c>
      <c r="I304" s="1">
        <v>2018</v>
      </c>
      <c r="J304" s="1">
        <v>17</v>
      </c>
      <c r="K304" s="1" t="s">
        <v>3045</v>
      </c>
      <c r="O304" s="1" t="s">
        <v>6552</v>
      </c>
    </row>
    <row r="305" spans="1:16" ht="15.75" customHeight="1">
      <c r="A305" s="1" t="s">
        <v>10</v>
      </c>
      <c r="B305" s="1" t="s">
        <v>5421</v>
      </c>
      <c r="C305" s="1" t="s">
        <v>5422</v>
      </c>
      <c r="D305" s="1" t="s">
        <v>1451</v>
      </c>
      <c r="E305" s="1" t="s">
        <v>5423</v>
      </c>
      <c r="F305" s="1" t="s">
        <v>5424</v>
      </c>
      <c r="H305" s="1">
        <v>85</v>
      </c>
      <c r="I305" s="1">
        <v>2018</v>
      </c>
      <c r="J305" s="1">
        <v>42</v>
      </c>
      <c r="K305" s="1">
        <v>6</v>
      </c>
      <c r="O305" s="1" t="s">
        <v>5425</v>
      </c>
    </row>
    <row r="306" spans="1:16" ht="15.75" customHeight="1">
      <c r="A306" s="1" t="s">
        <v>10</v>
      </c>
      <c r="B306" s="1" t="s">
        <v>4596</v>
      </c>
      <c r="C306" s="1" t="s">
        <v>4597</v>
      </c>
      <c r="D306" s="1" t="s">
        <v>88</v>
      </c>
      <c r="E306" s="1" t="s">
        <v>4598</v>
      </c>
      <c r="F306" s="1" t="s">
        <v>4599</v>
      </c>
      <c r="H306" s="1">
        <v>72</v>
      </c>
      <c r="I306" s="1">
        <v>2018</v>
      </c>
      <c r="J306" s="1">
        <v>101</v>
      </c>
      <c r="O306" s="1" t="s">
        <v>4600</v>
      </c>
    </row>
    <row r="307" spans="1:16" ht="15.75" customHeight="1">
      <c r="A307" s="1" t="s">
        <v>0</v>
      </c>
      <c r="B307" s="1" t="s">
        <v>5306</v>
      </c>
      <c r="C307" s="1" t="s">
        <v>5307</v>
      </c>
      <c r="D307" s="1" t="s">
        <v>5308</v>
      </c>
      <c r="E307" s="1" t="s">
        <v>5309</v>
      </c>
      <c r="F307" s="1" t="s">
        <v>5310</v>
      </c>
      <c r="G307" s="1">
        <v>65</v>
      </c>
      <c r="H307" s="1">
        <v>61</v>
      </c>
      <c r="I307" s="1">
        <v>2018</v>
      </c>
      <c r="J307" s="1">
        <v>108</v>
      </c>
      <c r="K307" s="1" t="s">
        <v>6</v>
      </c>
      <c r="L307" s="1">
        <v>263</v>
      </c>
      <c r="M307" s="1">
        <v>273</v>
      </c>
      <c r="N307" s="1" t="s">
        <v>6</v>
      </c>
      <c r="O307" s="1" t="s">
        <v>5311</v>
      </c>
      <c r="P307" s="3" t="str">
        <f>HYPERLINK("http://dx.doi.org/10.1016/j.worlddev.2017.04.023","http://dx.doi.org/10.1016/j.worlddev.2017.04.023")</f>
        <v>http://dx.doi.org/10.1016/j.worlddev.2017.04.023</v>
      </c>
    </row>
    <row r="308" spans="1:16" ht="15.75" customHeight="1">
      <c r="A308" s="1" t="s">
        <v>10</v>
      </c>
      <c r="B308" s="1" t="s">
        <v>128</v>
      </c>
      <c r="C308" s="1" t="s">
        <v>129</v>
      </c>
      <c r="D308" s="1" t="s">
        <v>130</v>
      </c>
      <c r="E308" s="1" t="s">
        <v>131</v>
      </c>
      <c r="F308" s="1" t="s">
        <v>132</v>
      </c>
      <c r="H308" s="1">
        <v>43</v>
      </c>
      <c r="I308" s="1">
        <v>2018</v>
      </c>
      <c r="J308" s="1">
        <v>10</v>
      </c>
      <c r="K308" s="1">
        <v>1</v>
      </c>
      <c r="O308" s="1" t="s">
        <v>133</v>
      </c>
    </row>
    <row r="309" spans="1:16" ht="15.75" customHeight="1">
      <c r="A309" s="1" t="s">
        <v>0</v>
      </c>
      <c r="B309" s="1" t="s">
        <v>5617</v>
      </c>
      <c r="C309" s="1" t="s">
        <v>5618</v>
      </c>
      <c r="D309" s="1" t="s">
        <v>5619</v>
      </c>
      <c r="E309" s="1" t="s">
        <v>5620</v>
      </c>
      <c r="F309" s="1" t="s">
        <v>5621</v>
      </c>
      <c r="G309" s="1">
        <v>62</v>
      </c>
      <c r="H309" s="1">
        <v>42</v>
      </c>
      <c r="I309" s="1">
        <v>2018</v>
      </c>
      <c r="J309" s="1">
        <v>72</v>
      </c>
      <c r="K309" s="1">
        <v>2</v>
      </c>
      <c r="L309" s="1">
        <v>253</v>
      </c>
      <c r="M309" s="1">
        <v>273</v>
      </c>
      <c r="N309" s="1" t="s">
        <v>6</v>
      </c>
      <c r="O309" s="1" t="s">
        <v>5622</v>
      </c>
      <c r="P309" s="3" t="str">
        <f>HYPERLINK("http://dx.doi.org/10.1080/00324728.2017.1416155","http://dx.doi.org/10.1080/00324728.2017.1416155")</f>
        <v>http://dx.doi.org/10.1080/00324728.2017.1416155</v>
      </c>
    </row>
    <row r="310" spans="1:16" ht="15.75" customHeight="1">
      <c r="A310" s="1" t="s">
        <v>10</v>
      </c>
      <c r="B310" s="1" t="s">
        <v>1839</v>
      </c>
      <c r="C310" s="1" t="s">
        <v>1840</v>
      </c>
      <c r="D310" s="1" t="s">
        <v>1841</v>
      </c>
      <c r="E310" s="1" t="s">
        <v>1842</v>
      </c>
      <c r="F310" s="1" t="s">
        <v>1843</v>
      </c>
      <c r="H310" s="1">
        <v>34</v>
      </c>
      <c r="I310" s="1">
        <v>2018</v>
      </c>
      <c r="J310" s="1">
        <v>134</v>
      </c>
      <c r="O310" s="1" t="s">
        <v>1844</v>
      </c>
    </row>
    <row r="311" spans="1:16" ht="15.75" customHeight="1">
      <c r="A311" s="1" t="s">
        <v>10</v>
      </c>
      <c r="B311" s="1" t="s">
        <v>672</v>
      </c>
      <c r="C311" s="1" t="s">
        <v>673</v>
      </c>
      <c r="D311" s="1" t="s">
        <v>674</v>
      </c>
      <c r="E311" s="1" t="s">
        <v>675</v>
      </c>
      <c r="F311" s="1" t="s">
        <v>676</v>
      </c>
      <c r="H311" s="1">
        <v>32</v>
      </c>
      <c r="I311" s="1">
        <v>2018</v>
      </c>
      <c r="J311" s="1">
        <v>45</v>
      </c>
      <c r="K311" s="1">
        <v>1</v>
      </c>
      <c r="O311" s="1" t="s">
        <v>677</v>
      </c>
    </row>
    <row r="312" spans="1:16" ht="15.75" customHeight="1">
      <c r="A312" s="1" t="s">
        <v>0</v>
      </c>
      <c r="B312" s="1" t="s">
        <v>4372</v>
      </c>
      <c r="C312" s="1" t="s">
        <v>4373</v>
      </c>
      <c r="D312" s="1" t="s">
        <v>201</v>
      </c>
      <c r="E312" s="1" t="s">
        <v>4374</v>
      </c>
      <c r="F312" s="1" t="s">
        <v>4375</v>
      </c>
      <c r="G312" s="1">
        <v>43</v>
      </c>
      <c r="H312" s="1">
        <v>23</v>
      </c>
      <c r="I312" s="1">
        <v>2018</v>
      </c>
      <c r="J312" s="1" t="s">
        <v>6</v>
      </c>
      <c r="K312" s="1">
        <v>57</v>
      </c>
      <c r="L312" s="1">
        <v>181</v>
      </c>
      <c r="M312" s="1">
        <v>201</v>
      </c>
      <c r="N312" s="1" t="s">
        <v>6</v>
      </c>
      <c r="O312" s="1" t="s">
        <v>4376</v>
      </c>
      <c r="P312" s="3" t="str">
        <f>HYPERLINK("http://dx.doi.org/10.4067/S0718-10432018005000101","http://dx.doi.org/10.4067/S0718-10432018005000101")</f>
        <v>http://dx.doi.org/10.4067/S0718-10432018005000101</v>
      </c>
    </row>
    <row r="313" spans="1:16" ht="15.75" customHeight="1">
      <c r="A313" s="1" t="s">
        <v>0</v>
      </c>
      <c r="B313" s="4" t="s">
        <v>6206</v>
      </c>
      <c r="C313" s="1" t="s">
        <v>6207</v>
      </c>
      <c r="D313" s="1" t="s">
        <v>52</v>
      </c>
      <c r="E313" s="1" t="s">
        <v>6208</v>
      </c>
      <c r="F313" s="1" t="s">
        <v>6209</v>
      </c>
      <c r="G313" s="1">
        <v>108</v>
      </c>
      <c r="H313" s="1">
        <v>21</v>
      </c>
      <c r="I313" s="1">
        <v>2018</v>
      </c>
      <c r="J313" s="1">
        <v>17</v>
      </c>
      <c r="K313" s="1" t="s">
        <v>3045</v>
      </c>
      <c r="O313" s="1" t="s">
        <v>6210</v>
      </c>
    </row>
    <row r="314" spans="1:16" ht="15.75" customHeight="1">
      <c r="A314" s="1" t="s">
        <v>0</v>
      </c>
      <c r="B314" s="1" t="s">
        <v>877</v>
      </c>
      <c r="C314" s="1" t="s">
        <v>878</v>
      </c>
      <c r="D314" s="1" t="s">
        <v>879</v>
      </c>
      <c r="E314" s="1" t="s">
        <v>880</v>
      </c>
      <c r="F314" s="1" t="s">
        <v>881</v>
      </c>
      <c r="G314" s="1">
        <v>87</v>
      </c>
      <c r="H314" s="1">
        <v>20</v>
      </c>
      <c r="I314" s="1">
        <v>2018</v>
      </c>
      <c r="J314" s="1">
        <v>13</v>
      </c>
      <c r="K314" s="1" t="s">
        <v>882</v>
      </c>
    </row>
    <row r="315" spans="1:16" ht="15.75" customHeight="1">
      <c r="A315" s="1" t="s">
        <v>10</v>
      </c>
      <c r="B315" s="1" t="s">
        <v>956</v>
      </c>
      <c r="C315" s="1" t="s">
        <v>957</v>
      </c>
      <c r="D315" s="1" t="s">
        <v>500</v>
      </c>
      <c r="E315" s="1" t="s">
        <v>958</v>
      </c>
      <c r="F315" s="1" t="s">
        <v>959</v>
      </c>
      <c r="H315" s="1">
        <v>19</v>
      </c>
      <c r="I315" s="1">
        <v>2018</v>
      </c>
      <c r="J315" s="1">
        <v>55</v>
      </c>
      <c r="K315" s="1">
        <v>3</v>
      </c>
      <c r="O315" s="1" t="s">
        <v>960</v>
      </c>
    </row>
    <row r="316" spans="1:16" ht="15.75" customHeight="1">
      <c r="A316" s="1" t="s">
        <v>0</v>
      </c>
      <c r="B316" s="1" t="s">
        <v>4915</v>
      </c>
      <c r="C316" s="1" t="s">
        <v>4916</v>
      </c>
      <c r="D316" s="1" t="s">
        <v>4646</v>
      </c>
      <c r="E316" s="1" t="s">
        <v>4917</v>
      </c>
      <c r="F316" s="1" t="s">
        <v>4918</v>
      </c>
      <c r="G316" s="1">
        <v>49</v>
      </c>
      <c r="H316" s="1">
        <v>17</v>
      </c>
      <c r="I316" s="1">
        <v>2018</v>
      </c>
      <c r="J316" s="1">
        <v>97</v>
      </c>
      <c r="K316" s="1">
        <v>4</v>
      </c>
      <c r="L316" s="1">
        <v>1337</v>
      </c>
      <c r="M316" s="1" t="s">
        <v>1395</v>
      </c>
      <c r="N316" s="1" t="s">
        <v>6</v>
      </c>
      <c r="O316" s="1" t="s">
        <v>4919</v>
      </c>
      <c r="P316" s="3" t="str">
        <f>HYPERLINK("http://dx.doi.org/10.1111/pirs.12296","http://dx.doi.org/10.1111/pirs.12296")</f>
        <v>http://dx.doi.org/10.1111/pirs.12296</v>
      </c>
    </row>
    <row r="317" spans="1:16" ht="15.75" customHeight="1">
      <c r="A317" s="1" t="s">
        <v>0</v>
      </c>
      <c r="B317" s="1" t="s">
        <v>774</v>
      </c>
      <c r="C317" s="1" t="s">
        <v>775</v>
      </c>
      <c r="D317" s="1" t="s">
        <v>776</v>
      </c>
      <c r="E317" s="8" t="s">
        <v>7111</v>
      </c>
      <c r="F317" s="1" t="s">
        <v>777</v>
      </c>
      <c r="G317" s="1">
        <v>50</v>
      </c>
      <c r="H317" s="1">
        <v>16</v>
      </c>
      <c r="I317" s="1">
        <v>2018</v>
      </c>
      <c r="J317" s="1">
        <v>52</v>
      </c>
      <c r="K317" s="1">
        <v>2</v>
      </c>
      <c r="L317" s="1">
        <v>524</v>
      </c>
      <c r="M317" s="1">
        <v>558</v>
      </c>
      <c r="N317" s="1" t="s">
        <v>6</v>
      </c>
      <c r="O317" s="1" t="s">
        <v>778</v>
      </c>
      <c r="P317" s="3" t="str">
        <f>HYPERLINK("http://dx.doi.org/10.1111/imre.12309","http://dx.doi.org/10.1111/imre.12309")</f>
        <v>http://dx.doi.org/10.1111/imre.12309</v>
      </c>
    </row>
    <row r="318" spans="1:16" ht="15.75" customHeight="1">
      <c r="A318" s="1" t="s">
        <v>10</v>
      </c>
      <c r="B318" s="1" t="s">
        <v>4971</v>
      </c>
      <c r="C318" s="1" t="s">
        <v>4972</v>
      </c>
      <c r="D318" s="1" t="s">
        <v>70</v>
      </c>
      <c r="E318" s="1" t="s">
        <v>4973</v>
      </c>
      <c r="F318" s="1" t="s">
        <v>4974</v>
      </c>
      <c r="H318" s="1">
        <v>16</v>
      </c>
      <c r="I318" s="1">
        <v>2018</v>
      </c>
      <c r="J318" s="1">
        <v>9</v>
      </c>
      <c r="K318" s="1">
        <v>35</v>
      </c>
      <c r="O318" s="1" t="s">
        <v>4975</v>
      </c>
    </row>
    <row r="319" spans="1:16" ht="15.75" customHeight="1">
      <c r="A319" s="1" t="s">
        <v>10</v>
      </c>
      <c r="B319" s="1" t="s">
        <v>3674</v>
      </c>
      <c r="C319" s="1" t="s">
        <v>3675</v>
      </c>
      <c r="D319" s="1" t="s">
        <v>3676</v>
      </c>
      <c r="F319" s="1" t="s">
        <v>3677</v>
      </c>
      <c r="H319" s="1">
        <v>15</v>
      </c>
      <c r="I319" s="1">
        <v>2018</v>
      </c>
      <c r="J319" s="1">
        <v>45</v>
      </c>
      <c r="K319" s="1">
        <v>3</v>
      </c>
      <c r="O319" s="1" t="s">
        <v>3678</v>
      </c>
    </row>
    <row r="320" spans="1:16" ht="15.75" customHeight="1">
      <c r="A320" s="1" t="s">
        <v>10</v>
      </c>
      <c r="B320" s="1" t="s">
        <v>6155</v>
      </c>
      <c r="C320" s="1" t="s">
        <v>6156</v>
      </c>
      <c r="D320" s="1" t="s">
        <v>760</v>
      </c>
      <c r="E320" s="1" t="s">
        <v>6157</v>
      </c>
      <c r="F320" s="1" t="s">
        <v>6158</v>
      </c>
      <c r="H320" s="1">
        <v>13</v>
      </c>
      <c r="I320" s="1">
        <v>2018</v>
      </c>
      <c r="J320" s="1">
        <v>44</v>
      </c>
      <c r="K320" s="1">
        <v>16</v>
      </c>
      <c r="O320" s="1" t="s">
        <v>6159</v>
      </c>
    </row>
    <row r="321" spans="1:16" ht="15.75" customHeight="1">
      <c r="A321" s="1" t="s">
        <v>10</v>
      </c>
      <c r="B321" s="1" t="s">
        <v>1165</v>
      </c>
      <c r="C321" s="1" t="s">
        <v>1166</v>
      </c>
      <c r="D321" s="1" t="s">
        <v>1167</v>
      </c>
      <c r="E321" s="1" t="s">
        <v>1168</v>
      </c>
      <c r="F321" s="1" t="s">
        <v>1169</v>
      </c>
      <c r="H321" s="1">
        <v>12</v>
      </c>
      <c r="I321" s="1">
        <v>2018</v>
      </c>
      <c r="J321" s="1">
        <v>26</v>
      </c>
      <c r="K321" s="1">
        <v>5</v>
      </c>
      <c r="O321" s="1" t="s">
        <v>1170</v>
      </c>
    </row>
    <row r="322" spans="1:16" ht="15.75" customHeight="1">
      <c r="A322" s="1" t="s">
        <v>10</v>
      </c>
      <c r="B322" s="1" t="s">
        <v>6900</v>
      </c>
      <c r="C322" s="1" t="s">
        <v>6901</v>
      </c>
      <c r="D322" s="1" t="s">
        <v>6902</v>
      </c>
      <c r="E322" s="1" t="s">
        <v>6903</v>
      </c>
      <c r="F322" s="1" t="s">
        <v>6904</v>
      </c>
      <c r="H322" s="1">
        <v>11</v>
      </c>
      <c r="I322" s="1">
        <v>2018</v>
      </c>
      <c r="J322" s="1">
        <v>21</v>
      </c>
      <c r="K322" s="1">
        <v>5</v>
      </c>
      <c r="O322" s="1" t="s">
        <v>6905</v>
      </c>
    </row>
    <row r="323" spans="1:16" ht="15.75" customHeight="1">
      <c r="A323" s="1" t="s">
        <v>0</v>
      </c>
      <c r="B323" s="1" t="s">
        <v>2486</v>
      </c>
      <c r="C323" s="1" t="s">
        <v>2487</v>
      </c>
      <c r="D323" s="1" t="s">
        <v>2488</v>
      </c>
      <c r="E323" s="1" t="s">
        <v>2489</v>
      </c>
      <c r="F323" s="1" t="s">
        <v>2490</v>
      </c>
      <c r="G323" s="1">
        <v>67</v>
      </c>
      <c r="H323" s="1">
        <v>11</v>
      </c>
      <c r="I323" s="1">
        <v>2018</v>
      </c>
      <c r="J323" s="1">
        <v>25</v>
      </c>
      <c r="K323" s="1">
        <v>2</v>
      </c>
      <c r="L323" s="1">
        <v>228</v>
      </c>
      <c r="M323" s="1">
        <v>247</v>
      </c>
      <c r="N323" s="1" t="s">
        <v>6</v>
      </c>
      <c r="O323" s="1" t="s">
        <v>2491</v>
      </c>
      <c r="P323" s="3" t="str">
        <f>HYPERLINK("http://dx.doi.org/10.1080/0966369X.2018.1428534","http://dx.doi.org/10.1080/0966369X.2018.1428534")</f>
        <v>http://dx.doi.org/10.1080/0966369X.2018.1428534</v>
      </c>
    </row>
    <row r="324" spans="1:16" ht="15.75" customHeight="1">
      <c r="A324" s="1" t="s">
        <v>10</v>
      </c>
      <c r="B324" s="1" t="s">
        <v>6894</v>
      </c>
      <c r="C324" s="1" t="s">
        <v>6895</v>
      </c>
      <c r="D324" s="1" t="s">
        <v>6896</v>
      </c>
      <c r="E324" s="1" t="s">
        <v>6897</v>
      </c>
      <c r="F324" s="1" t="s">
        <v>6898</v>
      </c>
      <c r="H324" s="1">
        <v>9</v>
      </c>
      <c r="I324" s="1">
        <v>2018</v>
      </c>
      <c r="J324" s="1">
        <v>51</v>
      </c>
      <c r="K324" s="1" t="s">
        <v>820</v>
      </c>
      <c r="O324" s="1" t="s">
        <v>6899</v>
      </c>
    </row>
    <row r="325" spans="1:16" ht="15.75" customHeight="1">
      <c r="A325" s="1" t="s">
        <v>0</v>
      </c>
      <c r="B325" s="1" t="s">
        <v>6301</v>
      </c>
      <c r="C325" s="1" t="s">
        <v>6302</v>
      </c>
      <c r="D325" s="2" t="s">
        <v>4369</v>
      </c>
      <c r="E325" s="1" t="s">
        <v>6303</v>
      </c>
      <c r="F325" s="1" t="s">
        <v>6304</v>
      </c>
      <c r="G325" s="1">
        <v>46</v>
      </c>
      <c r="H325" s="1">
        <v>9</v>
      </c>
      <c r="I325" s="1">
        <v>2018</v>
      </c>
      <c r="K325" s="1" t="s">
        <v>6305</v>
      </c>
    </row>
    <row r="326" spans="1:16" ht="15.75" customHeight="1">
      <c r="A326" s="1" t="s">
        <v>0</v>
      </c>
      <c r="B326" s="1" t="s">
        <v>1476</v>
      </c>
      <c r="C326" s="1" t="s">
        <v>1477</v>
      </c>
      <c r="D326" s="1" t="s">
        <v>1478</v>
      </c>
      <c r="E326" s="1" t="s">
        <v>1479</v>
      </c>
      <c r="F326" s="1" t="s">
        <v>1480</v>
      </c>
      <c r="G326" s="1">
        <v>35</v>
      </c>
      <c r="H326" s="1">
        <v>8</v>
      </c>
      <c r="I326" s="1">
        <v>2018</v>
      </c>
      <c r="K326" s="1" t="s">
        <v>1481</v>
      </c>
      <c r="O326" s="1" t="s">
        <v>1482</v>
      </c>
    </row>
    <row r="327" spans="1:16" ht="15.75" customHeight="1">
      <c r="A327" s="1" t="s">
        <v>0</v>
      </c>
      <c r="B327" s="1" t="s">
        <v>2507</v>
      </c>
      <c r="C327" s="1" t="s">
        <v>2508</v>
      </c>
      <c r="D327" s="1" t="s">
        <v>58</v>
      </c>
      <c r="E327" s="1" t="s">
        <v>2509</v>
      </c>
      <c r="F327" s="1" t="s">
        <v>2510</v>
      </c>
      <c r="G327" s="1">
        <v>51</v>
      </c>
      <c r="H327" s="1">
        <v>8</v>
      </c>
      <c r="I327" s="1">
        <v>2018</v>
      </c>
      <c r="J327" s="1">
        <v>18</v>
      </c>
      <c r="K327" s="1" t="s">
        <v>378</v>
      </c>
    </row>
    <row r="328" spans="1:16" ht="15.75" customHeight="1">
      <c r="A328" s="1" t="s">
        <v>0</v>
      </c>
      <c r="B328" s="1" t="s">
        <v>4991</v>
      </c>
      <c r="C328" s="1" t="s">
        <v>4992</v>
      </c>
      <c r="D328" s="1" t="s">
        <v>963</v>
      </c>
      <c r="E328" s="8" t="s">
        <v>7115</v>
      </c>
      <c r="F328" s="1" t="s">
        <v>4993</v>
      </c>
      <c r="G328" s="1">
        <v>45</v>
      </c>
      <c r="H328" s="1">
        <v>7</v>
      </c>
      <c r="I328" s="1">
        <v>2018</v>
      </c>
      <c r="J328" s="1">
        <v>56</v>
      </c>
      <c r="K328" s="1">
        <v>2</v>
      </c>
      <c r="L328" s="1">
        <v>82</v>
      </c>
      <c r="M328" s="1">
        <v>96</v>
      </c>
      <c r="N328" s="1" t="s">
        <v>6</v>
      </c>
      <c r="O328" s="1" t="s">
        <v>4994</v>
      </c>
      <c r="P328" s="3" t="str">
        <f>HYPERLINK("http://dx.doi.org/10.1111/imig.12410","http://dx.doi.org/10.1111/imig.12410")</f>
        <v>http://dx.doi.org/10.1111/imig.12410</v>
      </c>
    </row>
    <row r="329" spans="1:16" ht="15.75" customHeight="1">
      <c r="A329" s="1" t="s">
        <v>10</v>
      </c>
      <c r="B329" s="1" t="s">
        <v>3016</v>
      </c>
      <c r="C329" s="1" t="s">
        <v>3017</v>
      </c>
      <c r="D329" s="1" t="s">
        <v>3018</v>
      </c>
      <c r="E329" s="1" t="s">
        <v>3019</v>
      </c>
      <c r="F329" s="1" t="s">
        <v>3020</v>
      </c>
      <c r="H329" s="1">
        <v>7</v>
      </c>
      <c r="I329" s="1">
        <v>2018</v>
      </c>
      <c r="J329" s="1">
        <v>62</v>
      </c>
      <c r="O329" s="1" t="s">
        <v>3021</v>
      </c>
    </row>
    <row r="330" spans="1:16" ht="15.75" customHeight="1">
      <c r="A330" s="1" t="s">
        <v>10</v>
      </c>
      <c r="B330" s="1" t="s">
        <v>5167</v>
      </c>
      <c r="C330" s="1" t="s">
        <v>5168</v>
      </c>
      <c r="D330" s="2" t="s">
        <v>5169</v>
      </c>
      <c r="E330" s="1" t="s">
        <v>5170</v>
      </c>
      <c r="F330" s="1" t="s">
        <v>5171</v>
      </c>
      <c r="H330" s="1">
        <v>7</v>
      </c>
      <c r="I330" s="1">
        <v>2018</v>
      </c>
      <c r="J330" s="1">
        <v>25</v>
      </c>
      <c r="K330" s="1">
        <v>4</v>
      </c>
      <c r="O330" s="1" t="s">
        <v>5172</v>
      </c>
    </row>
    <row r="331" spans="1:16" ht="15.75" customHeight="1">
      <c r="A331" s="1" t="s">
        <v>0</v>
      </c>
      <c r="B331" s="1" t="s">
        <v>5110</v>
      </c>
      <c r="C331" s="1" t="s">
        <v>5111</v>
      </c>
      <c r="D331" s="2" t="s">
        <v>5112</v>
      </c>
      <c r="E331" s="1" t="s">
        <v>5113</v>
      </c>
      <c r="F331" s="1" t="s">
        <v>5114</v>
      </c>
      <c r="G331" s="1">
        <v>26</v>
      </c>
      <c r="H331" s="1">
        <v>7</v>
      </c>
      <c r="I331" s="1">
        <v>2018</v>
      </c>
      <c r="J331" s="1">
        <v>39</v>
      </c>
      <c r="K331" s="1" t="s">
        <v>5115</v>
      </c>
      <c r="O331" s="1" t="s">
        <v>5116</v>
      </c>
    </row>
    <row r="332" spans="1:16" ht="15.75" customHeight="1">
      <c r="A332" s="1" t="s">
        <v>10</v>
      </c>
      <c r="B332" s="1" t="s">
        <v>4840</v>
      </c>
      <c r="C332" s="1" t="s">
        <v>4841</v>
      </c>
      <c r="D332" s="1" t="s">
        <v>4842</v>
      </c>
      <c r="E332" s="1" t="s">
        <v>4843</v>
      </c>
      <c r="F332" s="1" t="s">
        <v>4844</v>
      </c>
      <c r="H332" s="1">
        <v>6</v>
      </c>
      <c r="I332" s="1">
        <v>2018</v>
      </c>
      <c r="J332" s="1">
        <v>16</v>
      </c>
      <c r="K332" s="1">
        <v>2</v>
      </c>
      <c r="O332" s="1" t="s">
        <v>4845</v>
      </c>
    </row>
    <row r="333" spans="1:16" ht="15.75" customHeight="1">
      <c r="A333" s="1" t="s">
        <v>10</v>
      </c>
      <c r="B333" s="1" t="s">
        <v>4670</v>
      </c>
      <c r="C333" s="1" t="s">
        <v>4671</v>
      </c>
      <c r="D333" s="1" t="s">
        <v>650</v>
      </c>
      <c r="E333" s="1" t="s">
        <v>4672</v>
      </c>
      <c r="F333" s="1" t="s">
        <v>4673</v>
      </c>
      <c r="H333" s="1">
        <v>6</v>
      </c>
      <c r="I333" s="1">
        <v>2018</v>
      </c>
      <c r="J333" s="1">
        <v>34</v>
      </c>
      <c r="O333" s="1" t="s">
        <v>4674</v>
      </c>
    </row>
    <row r="334" spans="1:16" ht="15.75" customHeight="1">
      <c r="A334" s="1" t="s">
        <v>0</v>
      </c>
      <c r="B334" s="1" t="s">
        <v>6306</v>
      </c>
      <c r="C334" s="1" t="s">
        <v>6307</v>
      </c>
      <c r="D334" s="1" t="s">
        <v>4613</v>
      </c>
      <c r="E334" s="1" t="s">
        <v>6308</v>
      </c>
      <c r="F334" s="1" t="s">
        <v>6309</v>
      </c>
      <c r="G334" s="1">
        <v>40</v>
      </c>
      <c r="H334" s="1">
        <v>6</v>
      </c>
      <c r="I334" s="1">
        <v>2018</v>
      </c>
      <c r="K334" s="1" t="s">
        <v>55</v>
      </c>
    </row>
    <row r="335" spans="1:16" ht="15.75" customHeight="1">
      <c r="A335" s="1" t="s">
        <v>10</v>
      </c>
      <c r="B335" s="1" t="s">
        <v>2263</v>
      </c>
      <c r="C335" s="1" t="s">
        <v>2264</v>
      </c>
      <c r="D335" s="1" t="s">
        <v>2265</v>
      </c>
      <c r="E335" s="1" t="s">
        <v>2266</v>
      </c>
      <c r="F335" s="1" t="s">
        <v>2267</v>
      </c>
      <c r="H335" s="1">
        <v>6</v>
      </c>
      <c r="I335" s="1">
        <v>2018</v>
      </c>
      <c r="J335" s="1">
        <v>148</v>
      </c>
      <c r="K335" s="1">
        <v>6</v>
      </c>
      <c r="O335" s="1" t="s">
        <v>2268</v>
      </c>
    </row>
    <row r="336" spans="1:16" ht="15.75" customHeight="1">
      <c r="A336" s="1" t="s">
        <v>0</v>
      </c>
      <c r="B336" s="1" t="s">
        <v>4995</v>
      </c>
      <c r="C336" s="1" t="s">
        <v>4996</v>
      </c>
      <c r="D336" s="1" t="s">
        <v>52</v>
      </c>
      <c r="E336" s="1" t="s">
        <v>4997</v>
      </c>
      <c r="F336" s="1" t="s">
        <v>4998</v>
      </c>
      <c r="G336" s="1">
        <v>48</v>
      </c>
      <c r="H336" s="1">
        <v>5</v>
      </c>
      <c r="I336" s="1">
        <v>2018</v>
      </c>
      <c r="J336" s="1">
        <v>17</v>
      </c>
      <c r="K336" s="1" t="s">
        <v>3045</v>
      </c>
      <c r="O336" s="1" t="s">
        <v>4999</v>
      </c>
    </row>
    <row r="337" spans="1:16" ht="15.75" customHeight="1">
      <c r="A337" s="1" t="s">
        <v>10</v>
      </c>
      <c r="B337" s="1" t="s">
        <v>6010</v>
      </c>
      <c r="C337" s="1" t="s">
        <v>6011</v>
      </c>
      <c r="D337" s="1" t="s">
        <v>6012</v>
      </c>
      <c r="E337" s="1" t="s">
        <v>6013</v>
      </c>
      <c r="F337" s="1" t="s">
        <v>6014</v>
      </c>
      <c r="H337" s="1">
        <v>5</v>
      </c>
      <c r="I337" s="1">
        <v>2018</v>
      </c>
      <c r="J337" s="1">
        <v>4</v>
      </c>
      <c r="K337" s="1">
        <v>1</v>
      </c>
      <c r="O337" s="1" t="s">
        <v>6015</v>
      </c>
    </row>
    <row r="338" spans="1:16" ht="15.75" customHeight="1">
      <c r="A338" s="1" t="s">
        <v>10</v>
      </c>
      <c r="B338" s="1" t="s">
        <v>2275</v>
      </c>
      <c r="C338" s="1" t="s">
        <v>2276</v>
      </c>
      <c r="D338" s="2" t="s">
        <v>2277</v>
      </c>
      <c r="E338" s="1" t="s">
        <v>2278</v>
      </c>
      <c r="F338" s="1" t="s">
        <v>2279</v>
      </c>
      <c r="H338" s="1">
        <v>5</v>
      </c>
      <c r="I338" s="1">
        <v>2018</v>
      </c>
      <c r="J338" s="1">
        <v>50</v>
      </c>
      <c r="K338" s="1">
        <v>2</v>
      </c>
      <c r="O338" s="1" t="s">
        <v>2280</v>
      </c>
    </row>
    <row r="339" spans="1:16" ht="15.75" customHeight="1">
      <c r="A339" s="1" t="s">
        <v>0</v>
      </c>
      <c r="B339" s="1" t="s">
        <v>3041</v>
      </c>
      <c r="C339" s="1" t="s">
        <v>3042</v>
      </c>
      <c r="D339" s="1" t="s">
        <v>52</v>
      </c>
      <c r="E339" s="1" t="s">
        <v>3043</v>
      </c>
      <c r="F339" s="1" t="s">
        <v>3044</v>
      </c>
      <c r="G339" s="1">
        <v>68</v>
      </c>
      <c r="H339" s="1">
        <v>5</v>
      </c>
      <c r="I339" s="1">
        <v>2018</v>
      </c>
      <c r="J339" s="1">
        <v>17</v>
      </c>
      <c r="K339" s="1" t="s">
        <v>3045</v>
      </c>
      <c r="O339" s="1" t="s">
        <v>3046</v>
      </c>
    </row>
    <row r="340" spans="1:16" ht="15.75" customHeight="1">
      <c r="A340" s="1" t="s">
        <v>0</v>
      </c>
      <c r="B340" s="1" t="s">
        <v>3295</v>
      </c>
      <c r="C340" s="1" t="s">
        <v>3296</v>
      </c>
      <c r="D340" s="1" t="s">
        <v>3297</v>
      </c>
      <c r="E340" s="1" t="s">
        <v>3298</v>
      </c>
      <c r="F340" s="1" t="s">
        <v>3299</v>
      </c>
      <c r="G340" s="1">
        <v>79</v>
      </c>
      <c r="H340" s="1">
        <v>5</v>
      </c>
      <c r="I340" s="1">
        <v>2018</v>
      </c>
      <c r="J340" s="1">
        <v>139</v>
      </c>
      <c r="K340" s="1" t="s">
        <v>6</v>
      </c>
      <c r="L340" s="1">
        <v>81</v>
      </c>
      <c r="M340" s="1">
        <v>89</v>
      </c>
      <c r="N340" s="1" t="s">
        <v>6</v>
      </c>
      <c r="O340" s="1" t="s">
        <v>3300</v>
      </c>
      <c r="P340" s="3" t="str">
        <f>HYPERLINK("http://dx.doi.org/10.1016/j.anbehav.2018.03.009","http://dx.doi.org/10.1016/j.anbehav.2018.03.009")</f>
        <v>http://dx.doi.org/10.1016/j.anbehav.2018.03.009</v>
      </c>
    </row>
    <row r="341" spans="1:16" ht="15.75" customHeight="1">
      <c r="A341" s="1" t="s">
        <v>0</v>
      </c>
      <c r="B341" s="1" t="s">
        <v>4329</v>
      </c>
      <c r="C341" s="1" t="s">
        <v>4330</v>
      </c>
      <c r="D341" s="1" t="s">
        <v>4331</v>
      </c>
      <c r="E341" s="1" t="s">
        <v>4332</v>
      </c>
      <c r="F341" s="1" t="s">
        <v>4333</v>
      </c>
      <c r="G341" s="1">
        <v>57</v>
      </c>
      <c r="H341" s="1">
        <v>5</v>
      </c>
      <c r="I341" s="1">
        <v>2018</v>
      </c>
      <c r="J341" s="1">
        <v>31</v>
      </c>
      <c r="K341" s="1">
        <v>3</v>
      </c>
      <c r="L341" s="1">
        <v>450</v>
      </c>
      <c r="M341" s="1">
        <v>470</v>
      </c>
      <c r="N341" s="1" t="s">
        <v>6</v>
      </c>
      <c r="O341" s="1" t="s">
        <v>4334</v>
      </c>
      <c r="P341" s="3" t="str">
        <f>HYPERLINK("http://dx.doi.org/10.1108/ARLA-11-2016-0301","http://dx.doi.org/10.1108/ARLA-11-2016-0301")</f>
        <v>http://dx.doi.org/10.1108/ARLA-11-2016-0301</v>
      </c>
    </row>
    <row r="342" spans="1:16" ht="15.75" customHeight="1">
      <c r="A342" s="1" t="s">
        <v>0</v>
      </c>
      <c r="B342" s="1" t="s">
        <v>5818</v>
      </c>
      <c r="C342" s="1" t="s">
        <v>5819</v>
      </c>
      <c r="D342" s="1" t="s">
        <v>195</v>
      </c>
      <c r="E342" s="1" t="s">
        <v>5820</v>
      </c>
      <c r="F342" s="1" t="s">
        <v>5821</v>
      </c>
      <c r="G342" s="1">
        <v>60</v>
      </c>
      <c r="H342" s="1">
        <v>5</v>
      </c>
      <c r="I342" s="1">
        <v>2018</v>
      </c>
      <c r="J342" s="1">
        <v>50</v>
      </c>
      <c r="K342" s="1">
        <v>3</v>
      </c>
      <c r="L342" s="1">
        <v>501</v>
      </c>
      <c r="M342" s="1">
        <v>512</v>
      </c>
      <c r="N342" s="1" t="s">
        <v>6</v>
      </c>
      <c r="O342" s="1" t="s">
        <v>5822</v>
      </c>
      <c r="P342" s="3" t="str">
        <f>HYPERLINK("http://dx.doi.org/10.4067/S0717-73562018005001201","http://dx.doi.org/10.4067/S0717-73562018005001201")</f>
        <v>http://dx.doi.org/10.4067/S0717-73562018005001201</v>
      </c>
    </row>
    <row r="343" spans="1:16" ht="15.75" customHeight="1">
      <c r="A343" s="1" t="s">
        <v>0</v>
      </c>
      <c r="B343" s="1" t="s">
        <v>4825</v>
      </c>
      <c r="C343" s="1" t="s">
        <v>4826</v>
      </c>
      <c r="D343" s="1" t="s">
        <v>4827</v>
      </c>
      <c r="E343" s="1" t="s">
        <v>4828</v>
      </c>
      <c r="F343" s="1" t="s">
        <v>4829</v>
      </c>
      <c r="G343" s="1">
        <v>62</v>
      </c>
      <c r="H343" s="1">
        <v>5</v>
      </c>
      <c r="I343" s="1">
        <v>2018</v>
      </c>
      <c r="J343" s="1">
        <v>6</v>
      </c>
      <c r="K343" s="1">
        <v>1</v>
      </c>
      <c r="L343" s="1">
        <v>79</v>
      </c>
      <c r="M343" s="1">
        <v>98</v>
      </c>
      <c r="N343" s="1" t="s">
        <v>6</v>
      </c>
      <c r="O343" s="1" t="s">
        <v>4830</v>
      </c>
      <c r="P343" s="3" t="str">
        <f>HYPERLINK("http://dx.doi.org/10.1093/migration/mnx032","http://dx.doi.org/10.1093/migration/mnx032")</f>
        <v>http://dx.doi.org/10.1093/migration/mnx032</v>
      </c>
    </row>
    <row r="344" spans="1:16" ht="15.75" customHeight="1">
      <c r="A344" s="1" t="s">
        <v>10</v>
      </c>
      <c r="B344" s="1" t="s">
        <v>4733</v>
      </c>
      <c r="C344" s="1" t="s">
        <v>4734</v>
      </c>
      <c r="D344" s="1" t="s">
        <v>4735</v>
      </c>
      <c r="E344" s="1" t="s">
        <v>4736</v>
      </c>
      <c r="F344" s="1" t="s">
        <v>4737</v>
      </c>
      <c r="H344" s="1">
        <v>4</v>
      </c>
      <c r="I344" s="1">
        <v>2018</v>
      </c>
      <c r="J344" s="1">
        <v>2018</v>
      </c>
      <c r="K344" s="1">
        <v>720</v>
      </c>
      <c r="O344" s="1" t="s">
        <v>4738</v>
      </c>
    </row>
    <row r="345" spans="1:16" ht="15.75" customHeight="1">
      <c r="A345" s="1" t="s">
        <v>10</v>
      </c>
      <c r="B345" s="1" t="s">
        <v>5696</v>
      </c>
      <c r="C345" s="1" t="s">
        <v>5697</v>
      </c>
      <c r="D345" s="1" t="s">
        <v>1500</v>
      </c>
      <c r="E345" s="1" t="s">
        <v>5698</v>
      </c>
      <c r="F345" s="1" t="s">
        <v>5699</v>
      </c>
      <c r="H345" s="1">
        <v>4</v>
      </c>
      <c r="I345" s="1">
        <v>2018</v>
      </c>
      <c r="J345" s="1">
        <v>2018</v>
      </c>
      <c r="K345" s="1">
        <v>71</v>
      </c>
    </row>
    <row r="346" spans="1:16" ht="15.75" customHeight="1">
      <c r="A346" s="1" t="s">
        <v>10</v>
      </c>
      <c r="B346" s="1" t="s">
        <v>2152</v>
      </c>
      <c r="C346" s="1" t="s">
        <v>2153</v>
      </c>
      <c r="D346" s="1" t="s">
        <v>2154</v>
      </c>
      <c r="E346" s="1" t="s">
        <v>2155</v>
      </c>
      <c r="F346" s="1" t="s">
        <v>2156</v>
      </c>
      <c r="H346" s="1">
        <v>4</v>
      </c>
      <c r="I346" s="1">
        <v>2018</v>
      </c>
      <c r="J346" s="1">
        <v>43</v>
      </c>
      <c r="K346" s="1">
        <v>1</v>
      </c>
      <c r="O346" s="1" t="s">
        <v>2157</v>
      </c>
    </row>
    <row r="347" spans="1:16" ht="15.75" customHeight="1">
      <c r="A347" s="1" t="s">
        <v>0</v>
      </c>
      <c r="B347" s="1" t="s">
        <v>2784</v>
      </c>
      <c r="C347" s="1" t="s">
        <v>2785</v>
      </c>
      <c r="D347" s="1" t="s">
        <v>1679</v>
      </c>
      <c r="E347" s="1" t="s">
        <v>2786</v>
      </c>
      <c r="F347" s="1" t="s">
        <v>2787</v>
      </c>
      <c r="G347" s="1">
        <v>21</v>
      </c>
      <c r="H347" s="1">
        <v>4</v>
      </c>
      <c r="I347" s="1">
        <v>2018</v>
      </c>
      <c r="J347" s="1">
        <v>6</v>
      </c>
      <c r="K347" s="1">
        <v>1</v>
      </c>
      <c r="L347" s="1">
        <v>110</v>
      </c>
      <c r="M347" s="1">
        <v>114</v>
      </c>
      <c r="N347" s="1" t="s">
        <v>6</v>
      </c>
      <c r="O347" s="1" t="s">
        <v>2788</v>
      </c>
      <c r="P347" s="3" t="str">
        <f>HYPERLINK("http://dx.doi.org/10.17645/si.v6i1.1482","http://dx.doi.org/10.17645/si.v6i1.1482")</f>
        <v>http://dx.doi.org/10.17645/si.v6i1.1482</v>
      </c>
    </row>
    <row r="348" spans="1:16" ht="15.75" customHeight="1">
      <c r="A348" s="1" t="s">
        <v>10</v>
      </c>
      <c r="B348" s="1" t="s">
        <v>4954</v>
      </c>
      <c r="C348" s="1" t="s">
        <v>4955</v>
      </c>
      <c r="D348" s="1" t="s">
        <v>2017</v>
      </c>
      <c r="E348" s="1" t="s">
        <v>4956</v>
      </c>
      <c r="F348" s="1" t="s">
        <v>4957</v>
      </c>
      <c r="H348" s="1">
        <v>4</v>
      </c>
      <c r="I348" s="1">
        <v>2018</v>
      </c>
      <c r="J348" s="1">
        <v>34</v>
      </c>
      <c r="K348" s="1">
        <v>87</v>
      </c>
    </row>
    <row r="349" spans="1:16" ht="15.75" customHeight="1">
      <c r="A349" s="1" t="s">
        <v>0</v>
      </c>
      <c r="B349" s="1" t="s">
        <v>6130</v>
      </c>
      <c r="C349" s="1" t="s">
        <v>6131</v>
      </c>
      <c r="D349" s="1" t="s">
        <v>1009</v>
      </c>
      <c r="E349" s="1" t="s">
        <v>6132</v>
      </c>
      <c r="F349" s="1" t="s">
        <v>6133</v>
      </c>
      <c r="G349" s="1">
        <v>19</v>
      </c>
      <c r="H349" s="1">
        <v>4</v>
      </c>
      <c r="I349" s="1">
        <v>2018</v>
      </c>
      <c r="J349" s="1">
        <v>24</v>
      </c>
      <c r="K349" s="1">
        <v>97</v>
      </c>
      <c r="L349" s="1">
        <v>85</v>
      </c>
      <c r="M349" s="1">
        <v>112</v>
      </c>
      <c r="N349" s="1" t="s">
        <v>6</v>
      </c>
      <c r="O349" s="1" t="s">
        <v>6134</v>
      </c>
      <c r="P349" s="3" t="str">
        <f>HYPERLINK("http://dx.doi.org/10.22185/24487147.2018.97.26","http://dx.doi.org/10.22185/24487147.2018.97.26")</f>
        <v>http://dx.doi.org/10.22185/24487147.2018.97.26</v>
      </c>
    </row>
    <row r="350" spans="1:16" ht="15.75" customHeight="1">
      <c r="A350" s="1" t="s">
        <v>10</v>
      </c>
      <c r="B350" s="1" t="s">
        <v>6004</v>
      </c>
      <c r="C350" s="1" t="s">
        <v>6005</v>
      </c>
      <c r="D350" s="1" t="s">
        <v>6006</v>
      </c>
      <c r="E350" s="1" t="s">
        <v>6007</v>
      </c>
      <c r="F350" s="1" t="s">
        <v>6008</v>
      </c>
      <c r="H350" s="1">
        <v>3</v>
      </c>
      <c r="I350" s="1">
        <v>2018</v>
      </c>
      <c r="J350" s="1">
        <v>69</v>
      </c>
      <c r="O350" s="1" t="s">
        <v>6009</v>
      </c>
    </row>
    <row r="351" spans="1:16" ht="15.75" customHeight="1">
      <c r="A351" s="1" t="s">
        <v>10</v>
      </c>
      <c r="B351" s="1" t="s">
        <v>2641</v>
      </c>
      <c r="C351" s="1" t="s">
        <v>2642</v>
      </c>
      <c r="D351" s="1" t="s">
        <v>2643</v>
      </c>
      <c r="E351" s="1" t="s">
        <v>2644</v>
      </c>
      <c r="F351" s="1" t="s">
        <v>2645</v>
      </c>
      <c r="H351" s="1">
        <v>3</v>
      </c>
      <c r="I351" s="1">
        <v>2018</v>
      </c>
      <c r="J351" s="1">
        <v>22</v>
      </c>
      <c r="K351" s="1">
        <v>1</v>
      </c>
    </row>
    <row r="352" spans="1:16" ht="15.75" customHeight="1">
      <c r="A352" s="1" t="s">
        <v>10</v>
      </c>
      <c r="B352" s="1" t="s">
        <v>1654</v>
      </c>
      <c r="C352" s="1" t="s">
        <v>1655</v>
      </c>
      <c r="D352" s="1" t="s">
        <v>1656</v>
      </c>
      <c r="E352" s="1" t="s">
        <v>1657</v>
      </c>
      <c r="F352" s="1" t="s">
        <v>1658</v>
      </c>
      <c r="H352" s="1">
        <v>3</v>
      </c>
      <c r="I352" s="1">
        <v>2018</v>
      </c>
      <c r="J352" s="1">
        <v>18</v>
      </c>
      <c r="K352" s="1">
        <v>3</v>
      </c>
      <c r="O352" s="1" t="s">
        <v>1659</v>
      </c>
    </row>
    <row r="353" spans="1:16" ht="15.75" customHeight="1">
      <c r="A353" s="1" t="s">
        <v>0</v>
      </c>
      <c r="B353" s="1" t="s">
        <v>1566</v>
      </c>
      <c r="C353" s="1" t="s">
        <v>1567</v>
      </c>
      <c r="D353" s="1" t="s">
        <v>264</v>
      </c>
      <c r="E353" s="1" t="s">
        <v>1568</v>
      </c>
      <c r="F353" s="1" t="s">
        <v>1569</v>
      </c>
      <c r="G353" s="1">
        <v>67</v>
      </c>
      <c r="H353" s="1">
        <v>3</v>
      </c>
      <c r="I353" s="1">
        <v>2018</v>
      </c>
      <c r="J353" s="1">
        <v>44</v>
      </c>
      <c r="K353" s="1">
        <v>11</v>
      </c>
      <c r="L353" s="1">
        <v>1954</v>
      </c>
      <c r="M353" s="1">
        <v>1975</v>
      </c>
      <c r="N353" s="1" t="s">
        <v>6</v>
      </c>
      <c r="O353" s="1" t="s">
        <v>1570</v>
      </c>
      <c r="P353" s="3" t="str">
        <f>HYPERLINK("http://dx.doi.org/10.1080/1369183X.2017.1371582","http://dx.doi.org/10.1080/1369183X.2017.1371582")</f>
        <v>http://dx.doi.org/10.1080/1369183X.2017.1371582</v>
      </c>
    </row>
    <row r="354" spans="1:16" ht="15.75" customHeight="1">
      <c r="A354" s="1" t="s">
        <v>10</v>
      </c>
      <c r="B354" s="1" t="s">
        <v>5796</v>
      </c>
      <c r="C354" s="1" t="s">
        <v>5797</v>
      </c>
      <c r="D354" s="1" t="s">
        <v>1500</v>
      </c>
      <c r="E354" s="1" t="s">
        <v>5798</v>
      </c>
      <c r="F354" s="1" t="s">
        <v>5799</v>
      </c>
      <c r="H354" s="1">
        <v>3</v>
      </c>
      <c r="I354" s="1">
        <v>2018</v>
      </c>
      <c r="J354" s="1">
        <v>2018</v>
      </c>
      <c r="K354" s="1">
        <v>70</v>
      </c>
      <c r="O354" s="1" t="s">
        <v>5800</v>
      </c>
    </row>
    <row r="355" spans="1:16" ht="15.75" customHeight="1">
      <c r="A355" s="1" t="s">
        <v>0</v>
      </c>
      <c r="B355" s="1" t="s">
        <v>3976</v>
      </c>
      <c r="C355" s="1" t="s">
        <v>3977</v>
      </c>
      <c r="D355" s="1" t="s">
        <v>3597</v>
      </c>
      <c r="E355" s="1" t="s">
        <v>3978</v>
      </c>
      <c r="F355" s="1" t="s">
        <v>3979</v>
      </c>
      <c r="G355" s="1">
        <v>30</v>
      </c>
      <c r="H355" s="1">
        <v>3</v>
      </c>
      <c r="I355" s="1">
        <v>2018</v>
      </c>
      <c r="J355" s="1">
        <v>19</v>
      </c>
      <c r="O355" s="1" t="s">
        <v>3980</v>
      </c>
    </row>
    <row r="356" spans="1:16" ht="15.75" customHeight="1">
      <c r="A356" s="1" t="s">
        <v>10</v>
      </c>
      <c r="B356" s="1" t="s">
        <v>2015</v>
      </c>
      <c r="C356" s="1" t="s">
        <v>2016</v>
      </c>
      <c r="D356" s="1" t="s">
        <v>2017</v>
      </c>
      <c r="E356" s="1" t="s">
        <v>2018</v>
      </c>
      <c r="F356" s="1" t="s">
        <v>2019</v>
      </c>
      <c r="H356" s="1">
        <v>2</v>
      </c>
      <c r="I356" s="1">
        <v>2018</v>
      </c>
      <c r="J356" s="1">
        <v>34</v>
      </c>
      <c r="K356" s="1">
        <v>86</v>
      </c>
    </row>
    <row r="357" spans="1:16" ht="15.75" customHeight="1">
      <c r="A357" s="1" t="s">
        <v>0</v>
      </c>
      <c r="B357" s="1" t="s">
        <v>3346</v>
      </c>
      <c r="C357" s="1" t="s">
        <v>3347</v>
      </c>
      <c r="D357" s="1" t="s">
        <v>3348</v>
      </c>
      <c r="E357" s="1" t="s">
        <v>3349</v>
      </c>
      <c r="F357" s="1" t="s">
        <v>3350</v>
      </c>
      <c r="G357" s="1">
        <v>53</v>
      </c>
      <c r="H357" s="1">
        <v>2</v>
      </c>
      <c r="I357" s="1">
        <v>2018</v>
      </c>
      <c r="J357" s="1">
        <v>109</v>
      </c>
      <c r="K357" s="1">
        <v>3</v>
      </c>
      <c r="L357" s="1">
        <v>350</v>
      </c>
      <c r="M357" s="1">
        <v>370</v>
      </c>
      <c r="N357" s="1" t="s">
        <v>6</v>
      </c>
      <c r="O357" s="1" t="s">
        <v>3351</v>
      </c>
      <c r="P357" s="3" t="str">
        <f>HYPERLINK("http://dx.doi.org/10.1111/tesg.12295","http://dx.doi.org/10.1111/tesg.12295")</f>
        <v>http://dx.doi.org/10.1111/tesg.12295</v>
      </c>
    </row>
    <row r="358" spans="1:16" ht="15.75" customHeight="1">
      <c r="A358" s="1" t="s">
        <v>10</v>
      </c>
      <c r="B358" s="1" t="s">
        <v>2696</v>
      </c>
      <c r="C358" s="1" t="s">
        <v>2697</v>
      </c>
      <c r="D358" s="1" t="s">
        <v>2643</v>
      </c>
      <c r="E358" s="1" t="s">
        <v>2698</v>
      </c>
      <c r="F358" s="1" t="s">
        <v>2699</v>
      </c>
      <c r="H358" s="1">
        <v>2</v>
      </c>
      <c r="I358" s="1">
        <v>2018</v>
      </c>
      <c r="J358" s="1">
        <v>22</v>
      </c>
      <c r="K358" s="1">
        <v>1</v>
      </c>
      <c r="O358" s="1" t="s">
        <v>2700</v>
      </c>
    </row>
    <row r="359" spans="1:16" ht="15.75" customHeight="1">
      <c r="A359" s="1" t="s">
        <v>10</v>
      </c>
      <c r="B359" s="1" t="s">
        <v>4874</v>
      </c>
      <c r="C359" s="1" t="s">
        <v>4875</v>
      </c>
      <c r="D359" s="2" t="s">
        <v>4369</v>
      </c>
      <c r="E359" s="1" t="s">
        <v>4876</v>
      </c>
      <c r="F359" s="1" t="s">
        <v>4877</v>
      </c>
      <c r="H359" s="1">
        <v>2</v>
      </c>
      <c r="I359" s="1">
        <v>2018</v>
      </c>
      <c r="K359" s="1">
        <v>57</v>
      </c>
      <c r="O359" s="1" t="s">
        <v>4878</v>
      </c>
    </row>
    <row r="360" spans="1:16" ht="15.75" customHeight="1">
      <c r="A360" s="1" t="s">
        <v>10</v>
      </c>
      <c r="B360" s="1" t="s">
        <v>2164</v>
      </c>
      <c r="C360" s="1" t="s">
        <v>2165</v>
      </c>
      <c r="D360" s="1" t="s">
        <v>2166</v>
      </c>
      <c r="E360" s="1" t="s">
        <v>2167</v>
      </c>
      <c r="F360" s="1" t="s">
        <v>2168</v>
      </c>
      <c r="H360" s="1">
        <v>2</v>
      </c>
      <c r="I360" s="1">
        <v>2018</v>
      </c>
      <c r="J360" s="1">
        <v>10</v>
      </c>
      <c r="K360" s="1">
        <v>1</v>
      </c>
    </row>
    <row r="361" spans="1:16" ht="15.75" customHeight="1">
      <c r="A361" s="1" t="s">
        <v>10</v>
      </c>
      <c r="B361" s="1" t="s">
        <v>2734</v>
      </c>
      <c r="C361" s="1" t="s">
        <v>2735</v>
      </c>
      <c r="D361" s="1" t="s">
        <v>1820</v>
      </c>
      <c r="E361" s="1" t="s">
        <v>2736</v>
      </c>
      <c r="F361" s="1" t="s">
        <v>2737</v>
      </c>
      <c r="H361" s="1">
        <v>2</v>
      </c>
      <c r="I361" s="1">
        <v>2018</v>
      </c>
      <c r="J361" s="1">
        <v>21</v>
      </c>
      <c r="K361" s="1">
        <v>2</v>
      </c>
      <c r="O361" s="1" t="s">
        <v>2738</v>
      </c>
    </row>
    <row r="362" spans="1:16" ht="15.75" customHeight="1">
      <c r="A362" s="1" t="s">
        <v>0</v>
      </c>
      <c r="B362" s="1" t="s">
        <v>2174</v>
      </c>
      <c r="C362" s="1" t="s">
        <v>2175</v>
      </c>
      <c r="D362" s="1" t="s">
        <v>2176</v>
      </c>
      <c r="E362" s="1" t="s">
        <v>2177</v>
      </c>
      <c r="F362" s="1" t="s">
        <v>2178</v>
      </c>
      <c r="G362" s="1">
        <v>36</v>
      </c>
      <c r="H362" s="1">
        <v>2</v>
      </c>
      <c r="I362" s="1">
        <v>2018</v>
      </c>
      <c r="J362" s="1">
        <v>47</v>
      </c>
      <c r="K362" s="1">
        <v>6</v>
      </c>
      <c r="L362" s="1">
        <v>865</v>
      </c>
      <c r="M362" s="1">
        <v>887</v>
      </c>
      <c r="N362" s="1" t="s">
        <v>6</v>
      </c>
      <c r="O362" s="1" t="s">
        <v>2179</v>
      </c>
      <c r="P362" s="3" t="str">
        <f>HYPERLINK("http://dx.doi.org/10.1177/0891241617716743","http://dx.doi.org/10.1177/0891241617716743")</f>
        <v>http://dx.doi.org/10.1177/0891241617716743</v>
      </c>
    </row>
    <row r="363" spans="1:16" ht="15.75" customHeight="1">
      <c r="A363" s="1" t="s">
        <v>0</v>
      </c>
      <c r="B363" s="1" t="s">
        <v>6600</v>
      </c>
      <c r="C363" s="1" t="s">
        <v>6601</v>
      </c>
      <c r="D363" s="1" t="s">
        <v>715</v>
      </c>
      <c r="E363" s="1" t="s">
        <v>6602</v>
      </c>
      <c r="F363" s="1" t="s">
        <v>6603</v>
      </c>
      <c r="G363" s="1">
        <v>23</v>
      </c>
      <c r="H363" s="1">
        <v>2</v>
      </c>
      <c r="I363" s="1">
        <v>2018</v>
      </c>
      <c r="J363" s="1">
        <v>35</v>
      </c>
      <c r="K363" s="1" t="s">
        <v>61</v>
      </c>
      <c r="O363" s="1" t="s">
        <v>6604</v>
      </c>
    </row>
    <row r="364" spans="1:16" ht="15.75" customHeight="1">
      <c r="A364" s="1" t="s">
        <v>0</v>
      </c>
      <c r="B364" s="1" t="s">
        <v>6966</v>
      </c>
      <c r="C364" s="1" t="s">
        <v>6967</v>
      </c>
      <c r="D364" s="1" t="s">
        <v>6968</v>
      </c>
      <c r="E364" s="1" t="s">
        <v>6969</v>
      </c>
      <c r="F364" s="1" t="s">
        <v>6970</v>
      </c>
      <c r="G364" s="1">
        <v>44</v>
      </c>
      <c r="H364" s="1">
        <v>2</v>
      </c>
      <c r="I364" s="1">
        <v>2018</v>
      </c>
      <c r="J364" s="1">
        <v>16</v>
      </c>
      <c r="K364" s="1" t="s">
        <v>6971</v>
      </c>
    </row>
    <row r="365" spans="1:16" ht="15.75" customHeight="1">
      <c r="A365" s="1" t="s">
        <v>0</v>
      </c>
      <c r="B365" s="1" t="s">
        <v>4315</v>
      </c>
      <c r="C365" s="1" t="s">
        <v>4316</v>
      </c>
      <c r="D365" s="1" t="s">
        <v>58</v>
      </c>
      <c r="E365" s="1" t="s">
        <v>4317</v>
      </c>
      <c r="F365" s="1" t="s">
        <v>4318</v>
      </c>
      <c r="G365" s="1">
        <v>53</v>
      </c>
      <c r="H365" s="1">
        <v>2</v>
      </c>
      <c r="I365" s="1">
        <v>2018</v>
      </c>
      <c r="J365" s="1">
        <v>18</v>
      </c>
      <c r="K365" s="1" t="s">
        <v>61</v>
      </c>
    </row>
    <row r="366" spans="1:16" ht="15.75" customHeight="1">
      <c r="A366" s="1" t="s">
        <v>0</v>
      </c>
      <c r="B366" s="1" t="s">
        <v>3509</v>
      </c>
      <c r="C366" s="1" t="s">
        <v>3510</v>
      </c>
      <c r="D366" s="1" t="s">
        <v>3511</v>
      </c>
      <c r="E366" s="1" t="s">
        <v>3512</v>
      </c>
      <c r="F366" s="1" t="s">
        <v>3513</v>
      </c>
      <c r="G366" s="1">
        <v>67</v>
      </c>
      <c r="H366" s="1">
        <v>2</v>
      </c>
      <c r="I366" s="1">
        <v>2018</v>
      </c>
      <c r="K366" s="1" t="s">
        <v>3514</v>
      </c>
      <c r="O366" s="1" t="s">
        <v>3515</v>
      </c>
    </row>
    <row r="367" spans="1:16" ht="15.75" customHeight="1">
      <c r="A367" s="1" t="s">
        <v>0</v>
      </c>
      <c r="B367" s="1" t="s">
        <v>1305</v>
      </c>
      <c r="C367" s="1" t="s">
        <v>1329</v>
      </c>
      <c r="D367" s="1" t="s">
        <v>1330</v>
      </c>
      <c r="E367" s="1" t="s">
        <v>1331</v>
      </c>
      <c r="F367" s="1" t="s">
        <v>1332</v>
      </c>
      <c r="G367" s="1">
        <v>40</v>
      </c>
      <c r="H367" s="1">
        <v>2</v>
      </c>
      <c r="I367" s="1">
        <v>2018</v>
      </c>
      <c r="J367" s="1">
        <v>13</v>
      </c>
      <c r="K367" s="1">
        <v>3</v>
      </c>
      <c r="L367" s="1">
        <v>325</v>
      </c>
      <c r="M367" s="1">
        <v>336</v>
      </c>
      <c r="N367" s="1" t="s">
        <v>6</v>
      </c>
      <c r="O367" s="1" t="s">
        <v>1333</v>
      </c>
      <c r="P367" s="3" t="str">
        <f>HYPERLINK("http://dx.doi.org/10.1080/17450101.2017.1356436","http://dx.doi.org/10.1080/17450101.2017.1356436")</f>
        <v>http://dx.doi.org/10.1080/17450101.2017.1356436</v>
      </c>
    </row>
    <row r="368" spans="1:16" ht="15.75" customHeight="1">
      <c r="A368" s="1" t="s">
        <v>10</v>
      </c>
      <c r="B368" s="1" t="s">
        <v>6642</v>
      </c>
      <c r="C368" s="2" t="s">
        <v>6643</v>
      </c>
      <c r="D368" s="1" t="s">
        <v>2987</v>
      </c>
      <c r="E368" s="1" t="s">
        <v>6644</v>
      </c>
      <c r="F368" s="1" t="s">
        <v>6645</v>
      </c>
      <c r="H368" s="1">
        <v>1</v>
      </c>
      <c r="I368" s="1">
        <v>2018</v>
      </c>
      <c r="J368" s="1">
        <v>33</v>
      </c>
      <c r="K368" s="1">
        <v>94</v>
      </c>
      <c r="O368" s="1" t="s">
        <v>6646</v>
      </c>
    </row>
    <row r="369" spans="1:16" ht="15.75" customHeight="1">
      <c r="A369" s="1" t="s">
        <v>463</v>
      </c>
      <c r="B369" s="1" t="s">
        <v>4638</v>
      </c>
      <c r="C369" s="1" t="s">
        <v>4639</v>
      </c>
      <c r="D369" s="1" t="s">
        <v>4640</v>
      </c>
      <c r="E369" s="1" t="s">
        <v>4641</v>
      </c>
      <c r="F369" s="1" t="s">
        <v>4642</v>
      </c>
      <c r="H369" s="1">
        <v>1</v>
      </c>
      <c r="I369" s="1">
        <v>2018</v>
      </c>
      <c r="O369" s="1" t="s">
        <v>4643</v>
      </c>
    </row>
    <row r="370" spans="1:16" ht="15.75" customHeight="1">
      <c r="A370" s="1" t="s">
        <v>10</v>
      </c>
      <c r="B370" s="1" t="s">
        <v>4484</v>
      </c>
      <c r="C370" s="1" t="s">
        <v>4485</v>
      </c>
      <c r="D370" s="1" t="s">
        <v>4486</v>
      </c>
      <c r="E370" s="1" t="s">
        <v>4487</v>
      </c>
      <c r="F370" s="1" t="s">
        <v>4488</v>
      </c>
      <c r="H370" s="1">
        <v>1</v>
      </c>
      <c r="I370" s="1">
        <v>2018</v>
      </c>
      <c r="J370" s="1">
        <v>35</v>
      </c>
      <c r="K370" s="1">
        <v>3</v>
      </c>
      <c r="O370" s="1" t="s">
        <v>4489</v>
      </c>
    </row>
    <row r="371" spans="1:16" ht="15.75" customHeight="1">
      <c r="A371" s="1" t="s">
        <v>0</v>
      </c>
      <c r="B371" s="1" t="s">
        <v>1465</v>
      </c>
      <c r="C371" s="1" t="s">
        <v>1466</v>
      </c>
      <c r="D371" s="1" t="s">
        <v>1467</v>
      </c>
      <c r="E371" s="1" t="s">
        <v>1468</v>
      </c>
      <c r="F371" s="1" t="s">
        <v>1469</v>
      </c>
      <c r="G371" s="1">
        <v>28</v>
      </c>
      <c r="H371" s="1">
        <v>1</v>
      </c>
      <c r="I371" s="1">
        <v>2018</v>
      </c>
      <c r="J371" s="1">
        <v>22</v>
      </c>
      <c r="K371" s="1">
        <v>2</v>
      </c>
      <c r="L371" s="1">
        <v>290</v>
      </c>
      <c r="M371" s="1">
        <v>302</v>
      </c>
      <c r="N371" s="1" t="s">
        <v>6</v>
      </c>
      <c r="O371" s="1" t="s">
        <v>1470</v>
      </c>
      <c r="P371" s="3" t="str">
        <f>HYPERLINK("http://dx.doi.org/10.4013/htu.2018.222.12","http://dx.doi.org/10.4013/htu.2018.222.12")</f>
        <v>http://dx.doi.org/10.4013/htu.2018.222.12</v>
      </c>
    </row>
    <row r="372" spans="1:16" ht="15.75" customHeight="1">
      <c r="A372" s="1" t="s">
        <v>10</v>
      </c>
      <c r="B372" s="1" t="s">
        <v>1588</v>
      </c>
      <c r="C372" s="1" t="s">
        <v>1589</v>
      </c>
      <c r="D372" s="1" t="s">
        <v>1590</v>
      </c>
      <c r="E372" s="1" t="s">
        <v>1591</v>
      </c>
      <c r="F372" s="1" t="s">
        <v>1592</v>
      </c>
      <c r="H372" s="1">
        <v>0</v>
      </c>
      <c r="I372" s="1">
        <v>2018</v>
      </c>
      <c r="J372" s="1">
        <v>109</v>
      </c>
      <c r="K372" s="1">
        <v>3</v>
      </c>
      <c r="O372" s="1" t="s">
        <v>1593</v>
      </c>
    </row>
    <row r="373" spans="1:16" ht="15.75" customHeight="1">
      <c r="A373" s="1" t="s">
        <v>463</v>
      </c>
      <c r="B373" s="1" t="s">
        <v>6115</v>
      </c>
      <c r="C373" s="1" t="s">
        <v>6116</v>
      </c>
      <c r="D373" s="1" t="s">
        <v>6117</v>
      </c>
      <c r="E373" s="1" t="s">
        <v>6118</v>
      </c>
      <c r="F373" s="1" t="s">
        <v>6119</v>
      </c>
      <c r="H373" s="1">
        <v>0</v>
      </c>
      <c r="I373" s="1">
        <v>2018</v>
      </c>
      <c r="O373" s="1" t="s">
        <v>6120</v>
      </c>
    </row>
    <row r="374" spans="1:16" ht="15.75" customHeight="1">
      <c r="A374" s="1" t="s">
        <v>0</v>
      </c>
      <c r="B374" s="1" t="s">
        <v>1947</v>
      </c>
      <c r="C374" s="1" t="s">
        <v>1948</v>
      </c>
      <c r="D374" s="1" t="s">
        <v>1949</v>
      </c>
      <c r="E374" s="1" t="s">
        <v>1950</v>
      </c>
      <c r="F374" s="1" t="s">
        <v>1951</v>
      </c>
      <c r="G374" s="1">
        <v>50</v>
      </c>
      <c r="H374" s="1">
        <v>0</v>
      </c>
      <c r="I374" s="1">
        <v>2018</v>
      </c>
      <c r="J374" s="1">
        <v>31</v>
      </c>
      <c r="K374" s="1" t="s">
        <v>1952</v>
      </c>
    </row>
    <row r="375" spans="1:16" ht="15.75" customHeight="1">
      <c r="A375" s="1" t="s">
        <v>0</v>
      </c>
      <c r="B375" s="1" t="s">
        <v>6692</v>
      </c>
      <c r="C375" s="1" t="s">
        <v>6693</v>
      </c>
      <c r="D375" s="1" t="s">
        <v>201</v>
      </c>
      <c r="E375" s="1" t="s">
        <v>6694</v>
      </c>
      <c r="F375" s="1" t="s">
        <v>6695</v>
      </c>
      <c r="G375" s="1">
        <v>85</v>
      </c>
      <c r="H375" s="1">
        <v>0</v>
      </c>
      <c r="I375" s="1">
        <v>2018</v>
      </c>
      <c r="J375" s="1" t="s">
        <v>6</v>
      </c>
      <c r="K375" s="1">
        <v>58</v>
      </c>
      <c r="L375" s="1">
        <v>7</v>
      </c>
      <c r="M375" s="1">
        <v>28</v>
      </c>
      <c r="N375" s="1" t="s">
        <v>6</v>
      </c>
      <c r="O375" s="1" t="s">
        <v>6696</v>
      </c>
      <c r="P375" s="3" t="str">
        <f>HYPERLINK("http://dx.doi.org/10.4067/S0718-10432018005000801","http://dx.doi.org/10.4067/S0718-10432018005000801")</f>
        <v>http://dx.doi.org/10.4067/S0718-10432018005000801</v>
      </c>
    </row>
    <row r="376" spans="1:16" ht="15.75" customHeight="1">
      <c r="A376" s="1" t="s">
        <v>0</v>
      </c>
      <c r="B376" s="1" t="s">
        <v>5934</v>
      </c>
      <c r="C376" s="1" t="s">
        <v>5935</v>
      </c>
      <c r="D376" s="1" t="s">
        <v>1467</v>
      </c>
      <c r="E376" s="1" t="s">
        <v>5936</v>
      </c>
      <c r="F376" s="1" t="s">
        <v>5937</v>
      </c>
      <c r="G376" s="1">
        <v>42</v>
      </c>
      <c r="H376" s="1">
        <v>0</v>
      </c>
      <c r="I376" s="1">
        <v>2018</v>
      </c>
      <c r="J376" s="1">
        <v>22</v>
      </c>
      <c r="K376" s="1">
        <v>2</v>
      </c>
      <c r="L376" s="1">
        <v>195</v>
      </c>
      <c r="M376" s="1">
        <v>208</v>
      </c>
      <c r="N376" s="1" t="s">
        <v>6</v>
      </c>
      <c r="O376" s="1" t="s">
        <v>5938</v>
      </c>
      <c r="P376" s="3" t="str">
        <f>HYPERLINK("http://dx.doi.org/10.4013/htu.2018.222.04","http://dx.doi.org/10.4013/htu.2018.222.04")</f>
        <v>http://dx.doi.org/10.4013/htu.2018.222.04</v>
      </c>
    </row>
    <row r="377" spans="1:16" ht="15.75" customHeight="1">
      <c r="A377" s="1" t="s">
        <v>0</v>
      </c>
      <c r="B377" s="1" t="s">
        <v>3921</v>
      </c>
      <c r="C377" s="1" t="s">
        <v>3922</v>
      </c>
      <c r="D377" s="1" t="s">
        <v>201</v>
      </c>
      <c r="E377" s="1" t="s">
        <v>3923</v>
      </c>
      <c r="F377" s="1" t="s">
        <v>3924</v>
      </c>
      <c r="G377" s="1">
        <v>53</v>
      </c>
      <c r="H377" s="1">
        <v>0</v>
      </c>
      <c r="I377" s="1">
        <v>2018</v>
      </c>
      <c r="J377" s="1" t="s">
        <v>6</v>
      </c>
      <c r="K377" s="1">
        <v>60</v>
      </c>
      <c r="L377" s="1">
        <v>241</v>
      </c>
      <c r="M377" s="1">
        <v>256</v>
      </c>
      <c r="N377" s="1" t="s">
        <v>6</v>
      </c>
      <c r="O377" s="1" t="s">
        <v>3925</v>
      </c>
      <c r="P377" s="3" t="str">
        <f>HYPERLINK("http://dx.doi.org/10.4067/S0718-10432018005001503","http://dx.doi.org/10.4067/S0718-10432018005001503")</f>
        <v>http://dx.doi.org/10.4067/S0718-10432018005001503</v>
      </c>
    </row>
    <row r="378" spans="1:16" ht="15.75" customHeight="1">
      <c r="A378" s="1" t="s">
        <v>0</v>
      </c>
      <c r="B378" s="1" t="s">
        <v>626</v>
      </c>
      <c r="C378" s="1" t="s">
        <v>627</v>
      </c>
      <c r="D378" s="1" t="s">
        <v>206</v>
      </c>
      <c r="E378" s="1" t="s">
        <v>628</v>
      </c>
      <c r="F378" s="1" t="s">
        <v>629</v>
      </c>
      <c r="G378" s="1">
        <v>40</v>
      </c>
      <c r="H378" s="1">
        <v>0</v>
      </c>
      <c r="I378" s="1">
        <v>2018</v>
      </c>
      <c r="J378" s="1" t="s">
        <v>6</v>
      </c>
      <c r="K378" s="1">
        <v>66</v>
      </c>
      <c r="L378" s="1">
        <v>93</v>
      </c>
      <c r="M378" s="1">
        <v>105</v>
      </c>
      <c r="N378" s="1" t="s">
        <v>6</v>
      </c>
      <c r="O378" s="1" t="s">
        <v>630</v>
      </c>
      <c r="P378" s="3" t="str">
        <f>HYPERLINK("http://dx.doi.org/10.7440/res66.2018.09","http://dx.doi.org/10.7440/res66.2018.09")</f>
        <v>http://dx.doi.org/10.7440/res66.2018.09</v>
      </c>
    </row>
    <row r="379" spans="1:16" ht="15.75" customHeight="1">
      <c r="A379" s="1" t="s">
        <v>0</v>
      </c>
      <c r="B379" s="1" t="s">
        <v>4024</v>
      </c>
      <c r="C379" s="1" t="s">
        <v>4025</v>
      </c>
      <c r="D379" s="1" t="s">
        <v>4026</v>
      </c>
      <c r="E379" s="1" t="s">
        <v>4027</v>
      </c>
      <c r="F379" s="1" t="s">
        <v>4028</v>
      </c>
      <c r="G379" s="1">
        <v>12</v>
      </c>
      <c r="H379" s="1">
        <v>0</v>
      </c>
      <c r="I379" s="1">
        <v>2018</v>
      </c>
      <c r="K379" s="1" t="s">
        <v>4029</v>
      </c>
    </row>
    <row r="380" spans="1:16" ht="15.75" customHeight="1">
      <c r="A380" s="1" t="s">
        <v>10</v>
      </c>
      <c r="B380" s="1" t="s">
        <v>796</v>
      </c>
      <c r="C380" s="1" t="s">
        <v>797</v>
      </c>
      <c r="D380" s="1" t="s">
        <v>706</v>
      </c>
      <c r="E380" s="1" t="s">
        <v>798</v>
      </c>
      <c r="F380" s="1" t="s">
        <v>799</v>
      </c>
      <c r="H380" s="1">
        <v>40</v>
      </c>
      <c r="I380" s="1">
        <v>2019</v>
      </c>
      <c r="J380" s="1">
        <v>56</v>
      </c>
      <c r="K380" s="1">
        <v>15</v>
      </c>
      <c r="O380" s="1" t="s">
        <v>800</v>
      </c>
    </row>
    <row r="381" spans="1:16" ht="15.75" customHeight="1">
      <c r="A381" s="1" t="s">
        <v>10</v>
      </c>
      <c r="B381" s="1" t="s">
        <v>5210</v>
      </c>
      <c r="C381" s="1" t="s">
        <v>5211</v>
      </c>
      <c r="D381" s="2" t="s">
        <v>5212</v>
      </c>
      <c r="E381" s="1" t="s">
        <v>5213</v>
      </c>
      <c r="F381" s="1" t="s">
        <v>5214</v>
      </c>
      <c r="H381" s="1">
        <v>35</v>
      </c>
      <c r="I381" s="1">
        <v>2019</v>
      </c>
      <c r="J381" s="1">
        <v>56</v>
      </c>
      <c r="K381" s="1">
        <v>14</v>
      </c>
      <c r="O381" s="1" t="s">
        <v>5215</v>
      </c>
    </row>
    <row r="382" spans="1:16" ht="15.75" customHeight="1">
      <c r="A382" s="1" t="s">
        <v>0</v>
      </c>
      <c r="B382" s="1" t="s">
        <v>1735</v>
      </c>
      <c r="C382" s="1" t="s">
        <v>1736</v>
      </c>
      <c r="D382" s="1" t="s">
        <v>1737</v>
      </c>
      <c r="E382" s="1" t="s">
        <v>1738</v>
      </c>
      <c r="F382" s="1" t="s">
        <v>1739</v>
      </c>
      <c r="G382" s="1">
        <v>57</v>
      </c>
      <c r="H382" s="1">
        <v>28</v>
      </c>
      <c r="I382" s="1">
        <v>2019</v>
      </c>
      <c r="J382" s="1">
        <v>190</v>
      </c>
      <c r="K382" s="1" t="s">
        <v>6</v>
      </c>
      <c r="L382" s="1" t="s">
        <v>6</v>
      </c>
      <c r="M382" s="1" t="s">
        <v>6</v>
      </c>
      <c r="N382" s="1">
        <v>103592</v>
      </c>
      <c r="O382" s="1" t="s">
        <v>1740</v>
      </c>
      <c r="P382" s="3" t="str">
        <f>HYPERLINK("http://dx.doi.org/10.1016/j.landurbplan.2019.103592","http://dx.doi.org/10.1016/j.landurbplan.2019.103592")</f>
        <v>http://dx.doi.org/10.1016/j.landurbplan.2019.103592</v>
      </c>
    </row>
    <row r="383" spans="1:16" ht="15.75" customHeight="1">
      <c r="A383" s="1" t="s">
        <v>10</v>
      </c>
      <c r="B383" s="1" t="s">
        <v>6194</v>
      </c>
      <c r="C383" s="1" t="s">
        <v>6195</v>
      </c>
      <c r="D383" s="2" t="s">
        <v>6196</v>
      </c>
      <c r="E383" s="1" t="s">
        <v>6197</v>
      </c>
      <c r="F383" s="1" t="s">
        <v>6198</v>
      </c>
      <c r="H383" s="1">
        <v>26</v>
      </c>
      <c r="I383" s="1">
        <v>2019</v>
      </c>
      <c r="J383" s="1">
        <v>45</v>
      </c>
      <c r="K383" s="1">
        <v>3</v>
      </c>
      <c r="O383" s="1" t="s">
        <v>6199</v>
      </c>
    </row>
    <row r="384" spans="1:16" ht="15.75" customHeight="1">
      <c r="A384" s="1" t="s">
        <v>10</v>
      </c>
      <c r="B384" s="1" t="s">
        <v>6872</v>
      </c>
      <c r="C384" s="1" t="s">
        <v>6873</v>
      </c>
      <c r="D384" s="1" t="s">
        <v>6874</v>
      </c>
      <c r="E384" s="1" t="s">
        <v>6875</v>
      </c>
      <c r="F384" s="1" t="s">
        <v>6876</v>
      </c>
      <c r="H384" s="1">
        <v>26</v>
      </c>
      <c r="I384" s="1">
        <v>2019</v>
      </c>
      <c r="J384" s="1">
        <v>30</v>
      </c>
      <c r="K384" s="1">
        <v>10</v>
      </c>
      <c r="O384" s="1" t="s">
        <v>6877</v>
      </c>
    </row>
    <row r="385" spans="1:16" ht="15.75" customHeight="1">
      <c r="A385" s="1" t="s">
        <v>10</v>
      </c>
      <c r="B385" s="1" t="s">
        <v>1300</v>
      </c>
      <c r="C385" s="1" t="s">
        <v>1301</v>
      </c>
      <c r="D385" s="1" t="s">
        <v>596</v>
      </c>
      <c r="E385" s="1" t="s">
        <v>1302</v>
      </c>
      <c r="F385" s="1" t="s">
        <v>1303</v>
      </c>
      <c r="H385" s="1">
        <v>20</v>
      </c>
      <c r="I385" s="1">
        <v>2019</v>
      </c>
      <c r="J385" s="1">
        <v>42</v>
      </c>
      <c r="K385" s="1">
        <v>9</v>
      </c>
      <c r="O385" s="1" t="s">
        <v>1304</v>
      </c>
    </row>
    <row r="386" spans="1:16" ht="15.75" customHeight="1">
      <c r="A386" s="1" t="s">
        <v>10</v>
      </c>
      <c r="B386" s="1" t="s">
        <v>1724</v>
      </c>
      <c r="C386" s="1" t="s">
        <v>1725</v>
      </c>
      <c r="D386" s="1" t="s">
        <v>1726</v>
      </c>
      <c r="E386" s="1" t="s">
        <v>1727</v>
      </c>
      <c r="F386" s="1" t="s">
        <v>1728</v>
      </c>
      <c r="H386" s="1">
        <v>20</v>
      </c>
      <c r="I386" s="1">
        <v>2019</v>
      </c>
      <c r="J386" s="1">
        <v>98</v>
      </c>
      <c r="O386" s="1" t="s">
        <v>1729</v>
      </c>
    </row>
    <row r="387" spans="1:16" ht="15.75" customHeight="1">
      <c r="A387" s="1" t="s">
        <v>0</v>
      </c>
      <c r="B387" s="1" t="s">
        <v>3268</v>
      </c>
      <c r="C387" s="1" t="s">
        <v>3269</v>
      </c>
      <c r="D387" s="1" t="s">
        <v>3270</v>
      </c>
      <c r="E387" s="8" t="s">
        <v>7110</v>
      </c>
      <c r="F387" s="1" t="s">
        <v>3271</v>
      </c>
      <c r="G387" s="1">
        <v>119</v>
      </c>
      <c r="H387" s="1">
        <v>19</v>
      </c>
      <c r="I387" s="1">
        <v>2019</v>
      </c>
      <c r="J387" s="1">
        <v>13</v>
      </c>
      <c r="K387" s="1">
        <v>8</v>
      </c>
      <c r="L387" s="1" t="s">
        <v>6</v>
      </c>
      <c r="M387" s="1" t="s">
        <v>6</v>
      </c>
      <c r="N387" s="1" t="s">
        <v>3272</v>
      </c>
      <c r="O387" s="1" t="s">
        <v>3273</v>
      </c>
      <c r="P387" s="3" t="str">
        <f>HYPERLINK("http://dx.doi.org/10.1111/gec3.12460","http://dx.doi.org/10.1111/gec3.12460")</f>
        <v>http://dx.doi.org/10.1111/gec3.12460</v>
      </c>
    </row>
    <row r="388" spans="1:16" ht="15.75" customHeight="1">
      <c r="A388" s="1" t="s">
        <v>0</v>
      </c>
      <c r="B388" s="1" t="s">
        <v>1007</v>
      </c>
      <c r="C388" s="1" t="s">
        <v>1008</v>
      </c>
      <c r="D388" s="1" t="s">
        <v>1009</v>
      </c>
      <c r="E388" s="1" t="s">
        <v>1010</v>
      </c>
      <c r="F388" s="1" t="s">
        <v>1011</v>
      </c>
      <c r="G388" s="1">
        <v>23</v>
      </c>
      <c r="H388" s="1">
        <v>19</v>
      </c>
      <c r="I388" s="1">
        <v>2019</v>
      </c>
      <c r="J388" s="1">
        <v>25</v>
      </c>
      <c r="K388" s="1">
        <v>100</v>
      </c>
      <c r="L388" s="1">
        <v>53</v>
      </c>
      <c r="M388" s="1">
        <v>85</v>
      </c>
      <c r="N388" s="1" t="s">
        <v>6</v>
      </c>
      <c r="O388" s="1" t="s">
        <v>1012</v>
      </c>
      <c r="P388" s="3" t="str">
        <f>HYPERLINK("http://dx.doi.org/10.22185/24487147.2019.100.13","http://dx.doi.org/10.22185/24487147.2019.100.13")</f>
        <v>http://dx.doi.org/10.22185/24487147.2019.100.13</v>
      </c>
    </row>
    <row r="389" spans="1:16" ht="15.75" customHeight="1">
      <c r="A389" s="1" t="s">
        <v>0</v>
      </c>
      <c r="B389" s="1" t="s">
        <v>2532</v>
      </c>
      <c r="C389" s="2" t="s">
        <v>2533</v>
      </c>
      <c r="D389" s="1" t="s">
        <v>201</v>
      </c>
      <c r="E389" s="1" t="s">
        <v>2534</v>
      </c>
      <c r="F389" s="1" t="s">
        <v>2535</v>
      </c>
      <c r="G389" s="1">
        <v>49</v>
      </c>
      <c r="H389" s="1">
        <v>18</v>
      </c>
      <c r="I389" s="1">
        <v>2019</v>
      </c>
      <c r="J389" s="1" t="s">
        <v>6</v>
      </c>
      <c r="K389" s="1">
        <v>62</v>
      </c>
      <c r="L389" s="1">
        <v>127</v>
      </c>
      <c r="M389" s="1">
        <v>141</v>
      </c>
      <c r="N389" s="1" t="s">
        <v>6</v>
      </c>
      <c r="O389" s="1" t="s">
        <v>2536</v>
      </c>
      <c r="P389" s="3" t="str">
        <f>HYPERLINK("http://dx.doi.org/10.22199/issn.0718-1043-2019-0011","http://dx.doi.org/10.22199/issn.0718-1043-2019-0011")</f>
        <v>http://dx.doi.org/10.22199/issn.0718-1043-2019-0011</v>
      </c>
    </row>
    <row r="390" spans="1:16" ht="15.75" customHeight="1">
      <c r="A390" s="1" t="s">
        <v>10</v>
      </c>
      <c r="B390" s="1" t="s">
        <v>4976</v>
      </c>
      <c r="C390" s="1" t="s">
        <v>4977</v>
      </c>
      <c r="D390" s="1" t="s">
        <v>2857</v>
      </c>
      <c r="E390" s="1" t="s">
        <v>4978</v>
      </c>
      <c r="F390" s="1" t="s">
        <v>4979</v>
      </c>
      <c r="H390" s="1">
        <v>17</v>
      </c>
      <c r="I390" s="1">
        <v>2019</v>
      </c>
      <c r="J390" s="1">
        <v>45</v>
      </c>
      <c r="K390" s="1">
        <v>3</v>
      </c>
      <c r="O390" s="1" t="s">
        <v>4980</v>
      </c>
    </row>
    <row r="391" spans="1:16" ht="15.75" customHeight="1">
      <c r="A391" s="1" t="s">
        <v>0</v>
      </c>
      <c r="B391" s="1" t="s">
        <v>1577</v>
      </c>
      <c r="C391" s="1" t="s">
        <v>1578</v>
      </c>
      <c r="D391" s="1" t="s">
        <v>1579</v>
      </c>
      <c r="E391" s="1" t="s">
        <v>1580</v>
      </c>
      <c r="F391" s="1" t="s">
        <v>1581</v>
      </c>
      <c r="G391" s="1">
        <v>59</v>
      </c>
      <c r="H391" s="1">
        <v>17</v>
      </c>
      <c r="I391" s="1">
        <v>2019</v>
      </c>
      <c r="J391" s="1">
        <v>19</v>
      </c>
      <c r="K391" s="1">
        <v>3</v>
      </c>
      <c r="L391" s="1">
        <v>411</v>
      </c>
      <c r="M391" s="1">
        <v>435</v>
      </c>
      <c r="N391" s="1" t="s">
        <v>6</v>
      </c>
      <c r="O391" s="1" t="s">
        <v>1582</v>
      </c>
      <c r="P391" s="3" t="str">
        <f>HYPERLINK("http://dx.doi.org/10.1080/19491247.2019.1627841","http://dx.doi.org/10.1080/19491247.2019.1627841")</f>
        <v>http://dx.doi.org/10.1080/19491247.2019.1627841</v>
      </c>
    </row>
    <row r="392" spans="1:16" ht="15.75" customHeight="1">
      <c r="A392" s="1" t="s">
        <v>10</v>
      </c>
      <c r="B392" s="1" t="s">
        <v>4949</v>
      </c>
      <c r="C392" s="1" t="s">
        <v>4950</v>
      </c>
      <c r="D392" s="1" t="s">
        <v>4951</v>
      </c>
      <c r="F392" s="1" t="s">
        <v>4952</v>
      </c>
      <c r="H392" s="1">
        <v>16</v>
      </c>
      <c r="I392" s="1">
        <v>2019</v>
      </c>
      <c r="J392" s="1">
        <v>75</v>
      </c>
      <c r="O392" s="1" t="s">
        <v>4953</v>
      </c>
    </row>
    <row r="393" spans="1:16" ht="15.75" customHeight="1">
      <c r="A393" s="1" t="s">
        <v>10</v>
      </c>
      <c r="B393" s="1" t="s">
        <v>6799</v>
      </c>
      <c r="C393" s="1" t="s">
        <v>6800</v>
      </c>
      <c r="D393" s="1" t="s">
        <v>556</v>
      </c>
      <c r="E393" s="1" t="s">
        <v>6801</v>
      </c>
      <c r="F393" s="1" t="s">
        <v>6802</v>
      </c>
      <c r="H393" s="1">
        <v>15</v>
      </c>
      <c r="I393" s="1">
        <v>2019</v>
      </c>
      <c r="J393" s="1">
        <v>14</v>
      </c>
      <c r="K393" s="1">
        <v>5</v>
      </c>
      <c r="O393" s="1" t="s">
        <v>6803</v>
      </c>
    </row>
    <row r="394" spans="1:16" ht="15.75" customHeight="1">
      <c r="A394" s="1" t="s">
        <v>0</v>
      </c>
      <c r="B394" s="1" t="s">
        <v>4967</v>
      </c>
      <c r="C394" s="1" t="s">
        <v>4968</v>
      </c>
      <c r="D394" s="1" t="s">
        <v>1371</v>
      </c>
      <c r="E394" s="1" t="s">
        <v>4969</v>
      </c>
      <c r="F394" s="1" t="s">
        <v>4970</v>
      </c>
      <c r="G394" s="1">
        <v>62</v>
      </c>
      <c r="H394" s="1">
        <v>15</v>
      </c>
      <c r="I394" s="1">
        <v>2019</v>
      </c>
      <c r="J394" s="1">
        <v>45</v>
      </c>
      <c r="K394" s="1" t="s">
        <v>605</v>
      </c>
    </row>
    <row r="395" spans="1:16" ht="15.75" customHeight="1">
      <c r="A395" s="1" t="s">
        <v>10</v>
      </c>
      <c r="B395" s="1" t="s">
        <v>6701</v>
      </c>
      <c r="C395" s="1" t="s">
        <v>6702</v>
      </c>
      <c r="D395" s="1" t="s">
        <v>6703</v>
      </c>
      <c r="E395" s="1" t="s">
        <v>6704</v>
      </c>
      <c r="F395" s="1" t="s">
        <v>6705</v>
      </c>
      <c r="H395" s="1">
        <v>14</v>
      </c>
      <c r="I395" s="1">
        <v>2019</v>
      </c>
      <c r="J395" s="1">
        <v>43</v>
      </c>
      <c r="K395" s="1">
        <v>2</v>
      </c>
      <c r="O395" s="1" t="s">
        <v>6706</v>
      </c>
    </row>
    <row r="396" spans="1:16" ht="15.75" customHeight="1">
      <c r="A396" s="1" t="s">
        <v>0</v>
      </c>
      <c r="B396" s="1" t="s">
        <v>1132</v>
      </c>
      <c r="C396" s="1" t="s">
        <v>1133</v>
      </c>
      <c r="D396" s="1" t="s">
        <v>1134</v>
      </c>
      <c r="E396" s="1" t="s">
        <v>1135</v>
      </c>
      <c r="F396" s="1" t="s">
        <v>1136</v>
      </c>
      <c r="G396" s="1">
        <v>61</v>
      </c>
      <c r="H396" s="1">
        <v>14</v>
      </c>
      <c r="I396" s="1">
        <v>2019</v>
      </c>
      <c r="J396" s="1">
        <v>185</v>
      </c>
      <c r="K396" s="1">
        <v>2</v>
      </c>
      <c r="L396" s="1">
        <v>180</v>
      </c>
      <c r="M396" s="1">
        <v>193</v>
      </c>
      <c r="N396" s="1" t="s">
        <v>6</v>
      </c>
      <c r="O396" s="1" t="s">
        <v>1137</v>
      </c>
      <c r="P396" s="3" t="str">
        <f>HYPERLINK("http://dx.doi.org/10.1111/geoj.12287","http://dx.doi.org/10.1111/geoj.12287")</f>
        <v>http://dx.doi.org/10.1111/geoj.12287</v>
      </c>
    </row>
    <row r="397" spans="1:16" ht="15.75" customHeight="1">
      <c r="A397" s="1" t="s">
        <v>10</v>
      </c>
      <c r="B397" s="1" t="s">
        <v>3493</v>
      </c>
      <c r="C397" s="1" t="s">
        <v>3494</v>
      </c>
      <c r="D397" s="1" t="s">
        <v>3495</v>
      </c>
      <c r="E397" s="1" t="s">
        <v>3496</v>
      </c>
      <c r="F397" s="1" t="s">
        <v>3497</v>
      </c>
      <c r="H397" s="1">
        <v>13</v>
      </c>
      <c r="I397" s="1">
        <v>2019</v>
      </c>
      <c r="J397" s="1">
        <v>31</v>
      </c>
      <c r="K397" s="1">
        <v>1</v>
      </c>
      <c r="O397" s="1" t="s">
        <v>3498</v>
      </c>
    </row>
    <row r="398" spans="1:16" ht="15.75" customHeight="1">
      <c r="A398" s="1" t="s">
        <v>10</v>
      </c>
      <c r="B398" s="1" t="s">
        <v>4429</v>
      </c>
      <c r="C398" s="1" t="s">
        <v>4430</v>
      </c>
      <c r="D398" s="1" t="s">
        <v>2857</v>
      </c>
      <c r="E398" s="1" t="s">
        <v>4431</v>
      </c>
      <c r="F398" s="1" t="s">
        <v>4432</v>
      </c>
      <c r="H398" s="1">
        <v>13</v>
      </c>
      <c r="I398" s="1">
        <v>2019</v>
      </c>
      <c r="J398" s="1">
        <v>45</v>
      </c>
      <c r="K398" s="1">
        <v>3</v>
      </c>
      <c r="O398" s="1" t="s">
        <v>4433</v>
      </c>
    </row>
    <row r="399" spans="1:16" ht="15.75" customHeight="1">
      <c r="A399" s="1" t="s">
        <v>0</v>
      </c>
      <c r="B399" s="1" t="s">
        <v>6165</v>
      </c>
      <c r="C399" s="1" t="s">
        <v>6166</v>
      </c>
      <c r="D399" s="1" t="s">
        <v>1371</v>
      </c>
      <c r="E399" s="1" t="s">
        <v>6167</v>
      </c>
      <c r="F399" s="1" t="s">
        <v>6168</v>
      </c>
      <c r="G399" s="1">
        <v>51</v>
      </c>
      <c r="H399" s="1">
        <v>13</v>
      </c>
      <c r="I399" s="1">
        <v>2019</v>
      </c>
      <c r="J399" s="1">
        <v>45</v>
      </c>
      <c r="K399" s="1" t="s">
        <v>605</v>
      </c>
    </row>
    <row r="400" spans="1:16" ht="15.75" customHeight="1">
      <c r="A400" s="1" t="s">
        <v>0</v>
      </c>
      <c r="B400" s="1" t="s">
        <v>2376</v>
      </c>
      <c r="C400" s="1" t="s">
        <v>2377</v>
      </c>
      <c r="D400" s="1" t="s">
        <v>2378</v>
      </c>
      <c r="E400" s="1" t="s">
        <v>2379</v>
      </c>
      <c r="F400" s="1" t="s">
        <v>2380</v>
      </c>
      <c r="G400" s="1">
        <v>75</v>
      </c>
      <c r="H400" s="1">
        <v>12</v>
      </c>
      <c r="I400" s="1">
        <v>2019</v>
      </c>
      <c r="J400" s="1">
        <v>19</v>
      </c>
      <c r="K400" s="1">
        <v>2</v>
      </c>
      <c r="L400" s="1" t="s">
        <v>6</v>
      </c>
      <c r="M400" s="1" t="s">
        <v>6</v>
      </c>
      <c r="N400" s="1" t="s">
        <v>2381</v>
      </c>
      <c r="O400" s="1" t="s">
        <v>2382</v>
      </c>
      <c r="P400" s="3" t="str">
        <f>HYPERLINK("http://dx.doi.org/10.5565/rev/athenea.2447","http://dx.doi.org/10.5565/rev/athenea.2447")</f>
        <v>http://dx.doi.org/10.5565/rev/athenea.2447</v>
      </c>
    </row>
    <row r="401" spans="1:16" ht="15.75" customHeight="1">
      <c r="A401" s="1" t="s">
        <v>10</v>
      </c>
      <c r="B401" s="1" t="s">
        <v>2757</v>
      </c>
      <c r="C401" s="1" t="s">
        <v>2758</v>
      </c>
      <c r="D401" s="1" t="s">
        <v>2759</v>
      </c>
      <c r="E401" s="1" t="s">
        <v>2760</v>
      </c>
      <c r="F401" s="1" t="s">
        <v>2761</v>
      </c>
      <c r="H401" s="1">
        <v>12</v>
      </c>
      <c r="I401" s="1">
        <v>2019</v>
      </c>
      <c r="J401" s="1">
        <v>54</v>
      </c>
      <c r="O401" s="1" t="s">
        <v>2762</v>
      </c>
    </row>
    <row r="402" spans="1:16" ht="15.75" customHeight="1">
      <c r="A402" s="1" t="s">
        <v>0</v>
      </c>
      <c r="B402" s="1" t="s">
        <v>5633</v>
      </c>
      <c r="C402" s="1" t="s">
        <v>5634</v>
      </c>
      <c r="D402" s="1" t="s">
        <v>5635</v>
      </c>
      <c r="E402" s="1" t="s">
        <v>5636</v>
      </c>
      <c r="F402" s="1" t="s">
        <v>5637</v>
      </c>
      <c r="G402" s="1">
        <v>90</v>
      </c>
      <c r="H402" s="1">
        <v>12</v>
      </c>
      <c r="I402" s="1">
        <v>2019</v>
      </c>
      <c r="J402" s="1">
        <v>22</v>
      </c>
      <c r="K402" s="1">
        <v>4</v>
      </c>
      <c r="L402" s="1">
        <v>383</v>
      </c>
      <c r="M402" s="1">
        <v>405</v>
      </c>
      <c r="N402" s="1" t="s">
        <v>6</v>
      </c>
      <c r="O402" s="1" t="s">
        <v>5638</v>
      </c>
      <c r="P402" s="3" t="str">
        <f>HYPERLINK("http://dx.doi.org/10.1080/10253866.2018.1512245","http://dx.doi.org/10.1080/10253866.2018.1512245")</f>
        <v>http://dx.doi.org/10.1080/10253866.2018.1512245</v>
      </c>
    </row>
    <row r="403" spans="1:16" ht="15.75" customHeight="1">
      <c r="A403" s="1" t="s">
        <v>10</v>
      </c>
      <c r="B403" s="1" t="s">
        <v>2970</v>
      </c>
      <c r="C403" s="1" t="s">
        <v>2975</v>
      </c>
      <c r="D403" s="1" t="s">
        <v>500</v>
      </c>
      <c r="E403" s="1" t="s">
        <v>2976</v>
      </c>
      <c r="F403" s="1" t="s">
        <v>2977</v>
      </c>
      <c r="H403" s="1">
        <v>11</v>
      </c>
      <c r="I403" s="1">
        <v>2019</v>
      </c>
      <c r="J403" s="1">
        <v>56</v>
      </c>
      <c r="K403" s="1">
        <v>5</v>
      </c>
      <c r="O403" s="1" t="s">
        <v>2978</v>
      </c>
    </row>
    <row r="404" spans="1:16" ht="15.75" customHeight="1">
      <c r="A404" s="1" t="s">
        <v>0</v>
      </c>
      <c r="B404" s="1" t="s">
        <v>5983</v>
      </c>
      <c r="C404" s="1" t="s">
        <v>5984</v>
      </c>
      <c r="D404" s="1" t="s">
        <v>715</v>
      </c>
      <c r="E404" s="1" t="s">
        <v>5985</v>
      </c>
      <c r="F404" s="1" t="s">
        <v>5986</v>
      </c>
      <c r="G404" s="1">
        <v>29</v>
      </c>
      <c r="H404" s="1">
        <v>11</v>
      </c>
      <c r="I404" s="1">
        <v>2019</v>
      </c>
      <c r="J404" s="1">
        <v>36</v>
      </c>
      <c r="K404" s="1" t="s">
        <v>1575</v>
      </c>
      <c r="O404" s="1" t="s">
        <v>5987</v>
      </c>
    </row>
    <row r="405" spans="1:16" ht="15.75" customHeight="1">
      <c r="A405" s="1" t="s">
        <v>10</v>
      </c>
      <c r="B405" s="1" t="s">
        <v>6025</v>
      </c>
      <c r="C405" s="1" t="s">
        <v>6026</v>
      </c>
      <c r="D405" s="1" t="s">
        <v>6027</v>
      </c>
      <c r="E405" s="1" t="s">
        <v>6028</v>
      </c>
      <c r="F405" s="1" t="s">
        <v>6029</v>
      </c>
      <c r="H405" s="1">
        <v>10</v>
      </c>
      <c r="I405" s="1">
        <v>2019</v>
      </c>
      <c r="J405" s="1">
        <v>235</v>
      </c>
      <c r="O405" s="1" t="s">
        <v>6030</v>
      </c>
    </row>
    <row r="406" spans="1:16" ht="15.75" customHeight="1">
      <c r="A406" s="1" t="s">
        <v>0</v>
      </c>
      <c r="B406" s="1" t="s">
        <v>6141</v>
      </c>
      <c r="C406" s="1" t="s">
        <v>6142</v>
      </c>
      <c r="D406" s="1" t="s">
        <v>1874</v>
      </c>
      <c r="E406" s="1" t="s">
        <v>6143</v>
      </c>
      <c r="F406" s="1" t="s">
        <v>6144</v>
      </c>
      <c r="G406" s="1">
        <v>34</v>
      </c>
      <c r="H406" s="1">
        <v>10</v>
      </c>
      <c r="I406" s="1">
        <v>2019</v>
      </c>
      <c r="J406" s="1">
        <v>46</v>
      </c>
      <c r="K406" s="1" t="s">
        <v>6</v>
      </c>
      <c r="L406" s="1">
        <v>91</v>
      </c>
      <c r="M406" s="1">
        <v>119</v>
      </c>
      <c r="N406" s="1" t="s">
        <v>6</v>
      </c>
      <c r="O406" s="1" t="s">
        <v>6145</v>
      </c>
      <c r="P406" s="3" t="str">
        <f>HYPERLINK("http://dx.doi.org/10.14422/mig.i46y2019.004","http://dx.doi.org/10.14422/mig.i46y2019.004")</f>
        <v>http://dx.doi.org/10.14422/mig.i46y2019.004</v>
      </c>
    </row>
    <row r="407" spans="1:16" ht="15.75" customHeight="1">
      <c r="A407" s="1" t="s">
        <v>10</v>
      </c>
      <c r="B407" s="1" t="s">
        <v>5205</v>
      </c>
      <c r="C407" s="1" t="s">
        <v>5206</v>
      </c>
      <c r="D407" s="1" t="s">
        <v>1726</v>
      </c>
      <c r="E407" s="1" t="s">
        <v>5207</v>
      </c>
      <c r="F407" s="1" t="s">
        <v>5208</v>
      </c>
      <c r="H407" s="1">
        <v>9</v>
      </c>
      <c r="I407" s="1">
        <v>2019</v>
      </c>
      <c r="J407" s="1">
        <v>106</v>
      </c>
      <c r="O407" s="1" t="s">
        <v>5209</v>
      </c>
    </row>
    <row r="408" spans="1:16" ht="15.75" customHeight="1">
      <c r="A408" s="1" t="s">
        <v>10</v>
      </c>
      <c r="B408" s="1" t="s">
        <v>2035</v>
      </c>
      <c r="C408" s="1" t="s">
        <v>2036</v>
      </c>
      <c r="D408" s="1" t="s">
        <v>1522</v>
      </c>
      <c r="E408" s="1" t="s">
        <v>2037</v>
      </c>
      <c r="F408" s="1" t="s">
        <v>2038</v>
      </c>
      <c r="H408" s="1">
        <v>8</v>
      </c>
      <c r="I408" s="1">
        <v>2019</v>
      </c>
      <c r="K408" s="1">
        <v>58</v>
      </c>
      <c r="O408" s="1" t="s">
        <v>2039</v>
      </c>
    </row>
    <row r="409" spans="1:16" ht="15.75" customHeight="1">
      <c r="A409" s="1" t="s">
        <v>0</v>
      </c>
      <c r="B409" s="2" t="s">
        <v>6206</v>
      </c>
      <c r="C409" s="1" t="s">
        <v>6211</v>
      </c>
      <c r="D409" s="1" t="s">
        <v>206</v>
      </c>
      <c r="E409" s="1" t="s">
        <v>6212</v>
      </c>
      <c r="F409" s="1" t="s">
        <v>6213</v>
      </c>
      <c r="G409" s="1">
        <v>133</v>
      </c>
      <c r="H409" s="1">
        <v>8</v>
      </c>
      <c r="I409" s="1">
        <v>2019</v>
      </c>
      <c r="J409" s="1" t="s">
        <v>6</v>
      </c>
      <c r="K409" s="1">
        <v>70</v>
      </c>
      <c r="L409" s="1">
        <v>100</v>
      </c>
      <c r="M409" s="1">
        <v>114</v>
      </c>
      <c r="N409" s="1" t="s">
        <v>6</v>
      </c>
      <c r="O409" s="1" t="s">
        <v>6214</v>
      </c>
      <c r="P409" s="3" t="str">
        <f>HYPERLINK("http://dx.doi.org/10.7440/res70.2019.09","http://dx.doi.org/10.7440/res70.2019.09")</f>
        <v>http://dx.doi.org/10.7440/res70.2019.09</v>
      </c>
    </row>
    <row r="410" spans="1:16" ht="15.75" customHeight="1">
      <c r="A410" s="1" t="s">
        <v>10</v>
      </c>
      <c r="B410" s="1" t="s">
        <v>4888</v>
      </c>
      <c r="C410" s="1" t="s">
        <v>4889</v>
      </c>
      <c r="D410" s="1" t="s">
        <v>4337</v>
      </c>
      <c r="E410" s="1" t="s">
        <v>4890</v>
      </c>
      <c r="F410" s="1" t="s">
        <v>4891</v>
      </c>
      <c r="H410" s="1">
        <v>8</v>
      </c>
      <c r="I410" s="1">
        <v>2019</v>
      </c>
      <c r="J410" s="1">
        <v>98</v>
      </c>
      <c r="K410" s="1">
        <v>3</v>
      </c>
      <c r="O410" s="1" t="s">
        <v>4892</v>
      </c>
    </row>
    <row r="411" spans="1:16" ht="15.75" customHeight="1">
      <c r="A411" s="1" t="s">
        <v>0</v>
      </c>
      <c r="B411" s="1" t="s">
        <v>4310</v>
      </c>
      <c r="C411" s="1" t="s">
        <v>4311</v>
      </c>
      <c r="D411" s="1" t="s">
        <v>996</v>
      </c>
      <c r="E411" s="1" t="s">
        <v>4312</v>
      </c>
      <c r="F411" s="1" t="s">
        <v>4313</v>
      </c>
      <c r="G411" s="1">
        <v>44</v>
      </c>
      <c r="H411" s="1">
        <v>8</v>
      </c>
      <c r="I411" s="1">
        <v>2019</v>
      </c>
      <c r="J411" s="1">
        <v>29</v>
      </c>
      <c r="K411" s="1">
        <v>1</v>
      </c>
      <c r="L411" s="1">
        <v>33</v>
      </c>
      <c r="M411" s="1">
        <v>58</v>
      </c>
      <c r="N411" s="1" t="s">
        <v>6</v>
      </c>
      <c r="O411" s="1" t="s">
        <v>4314</v>
      </c>
      <c r="P411" s="3" t="str">
        <f>HYPERLINK("http://dx.doi.org/10.7770/0719-2789.2019.CUHSO.02.A03","http://dx.doi.org/10.7770/0719-2789.2019.CUHSO.02.A03")</f>
        <v>http://dx.doi.org/10.7770/0719-2789.2019.CUHSO.02.A03</v>
      </c>
    </row>
    <row r="412" spans="1:16" ht="15.75" customHeight="1">
      <c r="A412" s="1" t="s">
        <v>0</v>
      </c>
      <c r="B412" s="1" t="s">
        <v>1247</v>
      </c>
      <c r="C412" s="1" t="s">
        <v>1248</v>
      </c>
      <c r="D412" s="1" t="s">
        <v>195</v>
      </c>
      <c r="E412" s="1" t="s">
        <v>1249</v>
      </c>
      <c r="F412" s="1" t="s">
        <v>1250</v>
      </c>
      <c r="G412" s="1">
        <v>38</v>
      </c>
      <c r="H412" s="1">
        <v>8</v>
      </c>
      <c r="I412" s="1">
        <v>2019</v>
      </c>
      <c r="J412" s="1">
        <v>51</v>
      </c>
      <c r="K412" s="1">
        <v>4</v>
      </c>
      <c r="L412" s="1">
        <v>661</v>
      </c>
      <c r="M412" s="1">
        <v>674</v>
      </c>
      <c r="N412" s="1" t="s">
        <v>6</v>
      </c>
      <c r="O412" s="1" t="s">
        <v>1251</v>
      </c>
      <c r="P412" s="3" t="str">
        <f>HYPERLINK("http://dx.doi.org/10.4067/S0717-73562019005001802","http://dx.doi.org/10.4067/S0717-73562019005001802")</f>
        <v>http://dx.doi.org/10.4067/S0717-73562019005001802</v>
      </c>
    </row>
    <row r="413" spans="1:16" ht="15.75" customHeight="1">
      <c r="A413" s="1" t="s">
        <v>10</v>
      </c>
      <c r="B413" s="1" t="s">
        <v>6883</v>
      </c>
      <c r="C413" s="1" t="s">
        <v>6884</v>
      </c>
      <c r="D413" s="1" t="s">
        <v>6885</v>
      </c>
      <c r="E413" s="1" t="s">
        <v>6886</v>
      </c>
      <c r="F413" s="1" t="s">
        <v>6887</v>
      </c>
      <c r="H413" s="1">
        <v>7</v>
      </c>
      <c r="I413" s="1">
        <v>2019</v>
      </c>
      <c r="J413" s="1">
        <v>32</v>
      </c>
      <c r="K413" s="1">
        <v>5</v>
      </c>
      <c r="O413" s="1" t="s">
        <v>6888</v>
      </c>
    </row>
    <row r="414" spans="1:16" ht="15.75" customHeight="1">
      <c r="A414" s="1" t="s">
        <v>10</v>
      </c>
      <c r="B414" s="1" t="s">
        <v>707</v>
      </c>
      <c r="C414" s="1" t="s">
        <v>708</v>
      </c>
      <c r="D414" s="1" t="s">
        <v>709</v>
      </c>
      <c r="E414" s="1" t="s">
        <v>710</v>
      </c>
      <c r="F414" s="1" t="s">
        <v>711</v>
      </c>
      <c r="H414" s="1">
        <v>7</v>
      </c>
      <c r="I414" s="1">
        <v>2019</v>
      </c>
      <c r="J414" s="1">
        <v>34</v>
      </c>
      <c r="O414" s="1" t="s">
        <v>712</v>
      </c>
    </row>
    <row r="415" spans="1:16" ht="15.75" customHeight="1">
      <c r="A415" s="1" t="s">
        <v>0</v>
      </c>
      <c r="B415" s="1" t="s">
        <v>5963</v>
      </c>
      <c r="C415" s="1" t="s">
        <v>5964</v>
      </c>
      <c r="D415" s="1" t="s">
        <v>5965</v>
      </c>
      <c r="E415" s="1" t="s">
        <v>5966</v>
      </c>
      <c r="F415" s="1" t="s">
        <v>5967</v>
      </c>
      <c r="G415" s="1">
        <v>98</v>
      </c>
      <c r="H415" s="1">
        <v>7</v>
      </c>
      <c r="I415" s="1">
        <v>2019</v>
      </c>
      <c r="J415" s="1">
        <v>37</v>
      </c>
      <c r="K415" s="1">
        <v>4</v>
      </c>
      <c r="L415" s="1">
        <v>288</v>
      </c>
      <c r="M415" s="1">
        <v>310</v>
      </c>
      <c r="N415" s="1" t="s">
        <v>6</v>
      </c>
      <c r="O415" s="1" t="s">
        <v>5968</v>
      </c>
      <c r="P415" s="3" t="str">
        <f>HYPERLINK("http://dx.doi.org/10.1177/0924051919884754","http://dx.doi.org/10.1177/0924051919884754")</f>
        <v>http://dx.doi.org/10.1177/0924051919884754</v>
      </c>
    </row>
    <row r="416" spans="1:16" ht="15.75" customHeight="1">
      <c r="A416" s="1" t="s">
        <v>0</v>
      </c>
      <c r="B416" s="1" t="s">
        <v>5192</v>
      </c>
      <c r="C416" s="1" t="s">
        <v>5193</v>
      </c>
      <c r="D416" s="1" t="s">
        <v>1371</v>
      </c>
      <c r="E416" s="1" t="s">
        <v>5194</v>
      </c>
      <c r="F416" s="1" t="s">
        <v>5195</v>
      </c>
      <c r="G416" s="1">
        <v>47</v>
      </c>
      <c r="H416" s="1">
        <v>7</v>
      </c>
      <c r="I416" s="1">
        <v>2019</v>
      </c>
      <c r="J416" s="1">
        <v>45</v>
      </c>
      <c r="K416" s="1" t="s">
        <v>605</v>
      </c>
    </row>
    <row r="417" spans="1:16" ht="15.75" customHeight="1">
      <c r="A417" s="1" t="s">
        <v>10</v>
      </c>
      <c r="B417" s="1" t="s">
        <v>554</v>
      </c>
      <c r="C417" s="1" t="s">
        <v>555</v>
      </c>
      <c r="D417" s="1" t="s">
        <v>556</v>
      </c>
      <c r="E417" s="1" t="s">
        <v>557</v>
      </c>
      <c r="F417" s="1" t="s">
        <v>558</v>
      </c>
      <c r="H417" s="1">
        <v>6</v>
      </c>
      <c r="I417" s="1">
        <v>2019</v>
      </c>
      <c r="J417" s="1">
        <v>14</v>
      </c>
      <c r="K417" s="1">
        <v>6</v>
      </c>
      <c r="O417" s="1" t="s">
        <v>559</v>
      </c>
    </row>
    <row r="418" spans="1:16" ht="15.75" customHeight="1">
      <c r="A418" s="1" t="s">
        <v>10</v>
      </c>
      <c r="B418" s="1" t="s">
        <v>5216</v>
      </c>
      <c r="C418" s="1" t="s">
        <v>5217</v>
      </c>
      <c r="D418" s="1" t="s">
        <v>5218</v>
      </c>
      <c r="E418" s="1" t="s">
        <v>5219</v>
      </c>
      <c r="F418" s="1" t="s">
        <v>5220</v>
      </c>
      <c r="H418" s="1">
        <v>6</v>
      </c>
      <c r="I418" s="1">
        <v>2019</v>
      </c>
      <c r="K418" s="1">
        <v>80</v>
      </c>
      <c r="O418" s="1" t="s">
        <v>5221</v>
      </c>
    </row>
    <row r="419" spans="1:16" ht="15.75" customHeight="1">
      <c r="A419" s="1" t="s">
        <v>10</v>
      </c>
      <c r="B419" s="1" t="s">
        <v>4140</v>
      </c>
      <c r="C419" s="1" t="s">
        <v>4141</v>
      </c>
      <c r="D419" s="1" t="s">
        <v>70</v>
      </c>
      <c r="E419" s="1" t="s">
        <v>4142</v>
      </c>
      <c r="F419" s="1" t="s">
        <v>4143</v>
      </c>
      <c r="H419" s="1">
        <v>6</v>
      </c>
      <c r="I419" s="1">
        <v>2019</v>
      </c>
      <c r="J419" s="1">
        <v>10</v>
      </c>
      <c r="K419" s="1">
        <v>36</v>
      </c>
      <c r="O419" s="1" t="s">
        <v>4144</v>
      </c>
    </row>
    <row r="420" spans="1:16" ht="15.75" customHeight="1">
      <c r="A420" s="1" t="s">
        <v>10</v>
      </c>
      <c r="B420" s="1" t="s">
        <v>1408</v>
      </c>
      <c r="C420" s="1" t="s">
        <v>1409</v>
      </c>
      <c r="D420" s="1" t="s">
        <v>1410</v>
      </c>
      <c r="E420" s="1" t="s">
        <v>1411</v>
      </c>
      <c r="F420" s="1" t="s">
        <v>1412</v>
      </c>
      <c r="H420" s="1">
        <v>6</v>
      </c>
      <c r="I420" s="1">
        <v>2019</v>
      </c>
      <c r="J420" s="1">
        <v>76</v>
      </c>
      <c r="K420" s="1">
        <v>2</v>
      </c>
      <c r="O420" s="1" t="s">
        <v>1413</v>
      </c>
    </row>
    <row r="421" spans="1:16" ht="15.75" customHeight="1">
      <c r="A421" s="1" t="s">
        <v>463</v>
      </c>
      <c r="B421" s="1" t="s">
        <v>4632</v>
      </c>
      <c r="C421" s="1" t="s">
        <v>4633</v>
      </c>
      <c r="D421" s="1" t="s">
        <v>4634</v>
      </c>
      <c r="E421" s="1" t="s">
        <v>4635</v>
      </c>
      <c r="F421" s="1" t="s">
        <v>4636</v>
      </c>
      <c r="H421" s="1">
        <v>6</v>
      </c>
      <c r="I421" s="1">
        <v>2019</v>
      </c>
      <c r="J421" s="1">
        <v>4</v>
      </c>
      <c r="O421" s="1" t="s">
        <v>4637</v>
      </c>
    </row>
    <row r="422" spans="1:16" ht="15.75" customHeight="1">
      <c r="A422" s="1" t="s">
        <v>0</v>
      </c>
      <c r="B422" s="1" t="s">
        <v>380</v>
      </c>
      <c r="C422" s="1" t="s">
        <v>381</v>
      </c>
      <c r="D422" s="1" t="s">
        <v>382</v>
      </c>
      <c r="E422" s="1" t="s">
        <v>383</v>
      </c>
      <c r="F422" s="1" t="s">
        <v>384</v>
      </c>
      <c r="G422" s="1">
        <v>66</v>
      </c>
      <c r="H422" s="1">
        <v>6</v>
      </c>
      <c r="I422" s="1">
        <v>2019</v>
      </c>
      <c r="J422" s="1">
        <v>13</v>
      </c>
      <c r="K422" s="1" t="s">
        <v>378</v>
      </c>
    </row>
    <row r="423" spans="1:16" ht="15.75" customHeight="1">
      <c r="A423" s="1" t="s">
        <v>0</v>
      </c>
      <c r="B423" s="1" t="s">
        <v>1543</v>
      </c>
      <c r="C423" s="1" t="s">
        <v>1544</v>
      </c>
      <c r="D423" s="1" t="s">
        <v>1545</v>
      </c>
      <c r="E423" s="1" t="s">
        <v>1546</v>
      </c>
      <c r="F423" s="1" t="s">
        <v>1547</v>
      </c>
      <c r="G423" s="1">
        <v>47</v>
      </c>
      <c r="H423" s="1">
        <v>6</v>
      </c>
      <c r="I423" s="1">
        <v>2019</v>
      </c>
      <c r="J423" s="1" t="s">
        <v>6</v>
      </c>
      <c r="K423" s="1">
        <v>79</v>
      </c>
      <c r="L423" s="1" t="s">
        <v>6</v>
      </c>
      <c r="M423" s="1" t="s">
        <v>6</v>
      </c>
      <c r="N423" s="1" t="s">
        <v>6</v>
      </c>
      <c r="O423" s="1" t="s">
        <v>1548</v>
      </c>
      <c r="P423" s="3" t="str">
        <f>HYPERLINK("http://dx.doi.org/10.29101/crcs.v0i79.9496","http://dx.doi.org/10.29101/crcs.v0i79.9496")</f>
        <v>http://dx.doi.org/10.29101/crcs.v0i79.9496</v>
      </c>
    </row>
    <row r="424" spans="1:16" ht="15.75" customHeight="1">
      <c r="A424" s="1" t="s">
        <v>0</v>
      </c>
      <c r="B424" s="1" t="s">
        <v>2875</v>
      </c>
      <c r="C424" s="1" t="s">
        <v>2876</v>
      </c>
      <c r="D424" s="1" t="s">
        <v>2877</v>
      </c>
      <c r="E424" s="1" t="s">
        <v>2878</v>
      </c>
      <c r="F424" s="1" t="s">
        <v>2879</v>
      </c>
      <c r="G424" s="1">
        <v>43</v>
      </c>
      <c r="H424" s="1">
        <v>5</v>
      </c>
      <c r="I424" s="1">
        <v>2019</v>
      </c>
      <c r="J424" s="1">
        <v>26</v>
      </c>
      <c r="K424" s="1" t="s">
        <v>61</v>
      </c>
      <c r="O424" s="1" t="s">
        <v>2880</v>
      </c>
    </row>
    <row r="425" spans="1:16" ht="15.75" customHeight="1">
      <c r="A425" s="1" t="s">
        <v>0</v>
      </c>
      <c r="B425" s="1" t="s">
        <v>1262</v>
      </c>
      <c r="C425" s="2" t="s">
        <v>1263</v>
      </c>
      <c r="D425" s="1" t="s">
        <v>1264</v>
      </c>
      <c r="E425" s="1" t="s">
        <v>1265</v>
      </c>
      <c r="F425" s="1" t="s">
        <v>1266</v>
      </c>
      <c r="G425" s="1">
        <v>53</v>
      </c>
      <c r="H425" s="1">
        <v>4</v>
      </c>
      <c r="I425" s="1">
        <v>2019</v>
      </c>
      <c r="J425" s="1">
        <v>9</v>
      </c>
      <c r="K425" s="1">
        <v>2</v>
      </c>
      <c r="L425" s="1">
        <v>257</v>
      </c>
      <c r="M425" s="1">
        <v>281</v>
      </c>
      <c r="N425" s="1" t="s">
        <v>6</v>
      </c>
      <c r="O425" s="1" t="s">
        <v>6</v>
      </c>
      <c r="P425" s="1" t="s">
        <v>6</v>
      </c>
    </row>
    <row r="426" spans="1:16" ht="15.75" customHeight="1">
      <c r="A426" s="1" t="s">
        <v>0</v>
      </c>
      <c r="B426" s="1" t="s">
        <v>3961</v>
      </c>
      <c r="C426" s="1" t="s">
        <v>3962</v>
      </c>
      <c r="D426" s="1" t="s">
        <v>3963</v>
      </c>
      <c r="E426" s="1" t="s">
        <v>3964</v>
      </c>
      <c r="F426" s="1" t="s">
        <v>3965</v>
      </c>
      <c r="G426" s="1">
        <v>44</v>
      </c>
      <c r="H426" s="1">
        <v>4</v>
      </c>
      <c r="I426" s="1">
        <v>2019</v>
      </c>
      <c r="J426" s="1">
        <v>47</v>
      </c>
      <c r="K426" s="1">
        <v>2</v>
      </c>
      <c r="L426" s="1">
        <v>73</v>
      </c>
      <c r="M426" s="1">
        <v>92</v>
      </c>
      <c r="N426" s="1" t="s">
        <v>6</v>
      </c>
      <c r="O426" s="1" t="s">
        <v>6</v>
      </c>
      <c r="P426" s="1" t="s">
        <v>6</v>
      </c>
    </row>
    <row r="427" spans="1:16" ht="15.75" customHeight="1">
      <c r="A427" s="1" t="s">
        <v>10</v>
      </c>
      <c r="B427" s="1" t="s">
        <v>3888</v>
      </c>
      <c r="C427" s="1" t="s">
        <v>3889</v>
      </c>
      <c r="D427" s="1" t="s">
        <v>2857</v>
      </c>
      <c r="E427" s="1" t="s">
        <v>3890</v>
      </c>
      <c r="F427" s="1" t="s">
        <v>3891</v>
      </c>
      <c r="H427" s="1">
        <v>3</v>
      </c>
      <c r="I427" s="1">
        <v>2019</v>
      </c>
      <c r="J427" s="1">
        <v>45</v>
      </c>
      <c r="K427" s="1">
        <v>3</v>
      </c>
      <c r="O427" s="1" t="s">
        <v>3892</v>
      </c>
    </row>
    <row r="428" spans="1:16" ht="15.75" customHeight="1">
      <c r="A428" s="1" t="s">
        <v>10</v>
      </c>
      <c r="B428" s="1" t="s">
        <v>416</v>
      </c>
      <c r="C428" s="1" t="s">
        <v>417</v>
      </c>
      <c r="D428" s="2" t="s">
        <v>418</v>
      </c>
      <c r="E428" s="1" t="s">
        <v>419</v>
      </c>
      <c r="F428" s="1" t="s">
        <v>420</v>
      </c>
      <c r="H428" s="1">
        <v>3</v>
      </c>
      <c r="I428" s="1">
        <v>2019</v>
      </c>
      <c r="J428" s="1">
        <v>10</v>
      </c>
      <c r="K428" s="1">
        <v>36</v>
      </c>
      <c r="O428" s="1" t="s">
        <v>421</v>
      </c>
    </row>
    <row r="429" spans="1:16" ht="15.75" customHeight="1">
      <c r="A429" s="1" t="s">
        <v>10</v>
      </c>
      <c r="B429" s="1" t="s">
        <v>2622</v>
      </c>
      <c r="C429" s="1" t="s">
        <v>2623</v>
      </c>
      <c r="D429" s="2" t="s">
        <v>418</v>
      </c>
      <c r="E429" s="1" t="s">
        <v>2624</v>
      </c>
      <c r="F429" s="1" t="s">
        <v>2625</v>
      </c>
      <c r="H429" s="1">
        <v>3</v>
      </c>
      <c r="I429" s="1">
        <v>2019</v>
      </c>
      <c r="J429" s="1">
        <v>10</v>
      </c>
      <c r="K429" s="1">
        <v>36</v>
      </c>
      <c r="O429" s="1" t="s">
        <v>2626</v>
      </c>
    </row>
    <row r="430" spans="1:16" ht="15.75" customHeight="1">
      <c r="A430" s="1" t="s">
        <v>0</v>
      </c>
      <c r="B430" s="1" t="s">
        <v>3643</v>
      </c>
      <c r="C430" s="1" t="s">
        <v>3644</v>
      </c>
      <c r="D430" s="1" t="s">
        <v>3645</v>
      </c>
      <c r="E430" s="1" t="s">
        <v>3646</v>
      </c>
      <c r="F430" s="1" t="s">
        <v>3647</v>
      </c>
      <c r="G430" s="1">
        <v>66</v>
      </c>
      <c r="H430" s="1">
        <v>3</v>
      </c>
      <c r="I430" s="1">
        <v>2019</v>
      </c>
      <c r="J430" s="1">
        <v>28</v>
      </c>
      <c r="K430" s="1">
        <v>4</v>
      </c>
      <c r="L430" s="1">
        <v>415</v>
      </c>
      <c r="M430" s="1">
        <v>439</v>
      </c>
      <c r="N430" s="1" t="s">
        <v>6</v>
      </c>
      <c r="O430" s="1" t="s">
        <v>3648</v>
      </c>
      <c r="P430" s="3" t="str">
        <f>HYPERLINK("http://dx.doi.org/10.1177/0117196819899243","http://dx.doi.org/10.1177/0117196819899243")</f>
        <v>http://dx.doi.org/10.1177/0117196819899243</v>
      </c>
    </row>
    <row r="431" spans="1:16" ht="15.75" customHeight="1">
      <c r="A431" s="1" t="s">
        <v>0</v>
      </c>
      <c r="B431" s="1" t="s">
        <v>2439</v>
      </c>
      <c r="C431" s="1" t="s">
        <v>2440</v>
      </c>
      <c r="D431" s="1" t="s">
        <v>1371</v>
      </c>
      <c r="E431" s="1" t="s">
        <v>2441</v>
      </c>
      <c r="F431" s="1" t="s">
        <v>2442</v>
      </c>
      <c r="G431" s="1">
        <v>40</v>
      </c>
      <c r="H431" s="1">
        <v>3</v>
      </c>
      <c r="I431" s="1">
        <v>2019</v>
      </c>
      <c r="J431" s="1">
        <v>45</v>
      </c>
      <c r="K431" s="1" t="s">
        <v>61</v>
      </c>
    </row>
    <row r="432" spans="1:16" ht="15.75" customHeight="1">
      <c r="A432" s="1" t="s">
        <v>10</v>
      </c>
      <c r="B432" s="2" t="s">
        <v>216</v>
      </c>
      <c r="C432" s="2" t="s">
        <v>217</v>
      </c>
      <c r="D432" s="1" t="s">
        <v>58</v>
      </c>
      <c r="E432" s="1" t="s">
        <v>218</v>
      </c>
      <c r="F432" s="1" t="s">
        <v>219</v>
      </c>
      <c r="H432" s="1">
        <v>3</v>
      </c>
      <c r="I432" s="1">
        <v>2019</v>
      </c>
      <c r="J432" s="1">
        <v>19</v>
      </c>
      <c r="K432" s="1">
        <v>2</v>
      </c>
      <c r="O432" s="1" t="s">
        <v>220</v>
      </c>
    </row>
    <row r="433" spans="1:16" ht="15.75" customHeight="1">
      <c r="A433" s="1" t="s">
        <v>10</v>
      </c>
      <c r="B433" s="1" t="s">
        <v>4388</v>
      </c>
      <c r="C433" s="1" t="s">
        <v>4389</v>
      </c>
      <c r="D433" s="1" t="s">
        <v>4390</v>
      </c>
      <c r="E433" s="1" t="s">
        <v>4391</v>
      </c>
      <c r="F433" s="1" t="s">
        <v>4392</v>
      </c>
      <c r="H433" s="1">
        <v>3</v>
      </c>
      <c r="I433" s="1">
        <v>2019</v>
      </c>
      <c r="J433" s="1">
        <v>24</v>
      </c>
      <c r="K433" s="1">
        <v>87</v>
      </c>
      <c r="O433" s="1" t="s">
        <v>4393</v>
      </c>
    </row>
    <row r="434" spans="1:16" ht="15.75" customHeight="1">
      <c r="A434" s="1" t="s">
        <v>0</v>
      </c>
      <c r="B434" s="1" t="s">
        <v>374</v>
      </c>
      <c r="C434" s="1" t="s">
        <v>375</v>
      </c>
      <c r="D434" s="1" t="s">
        <v>282</v>
      </c>
      <c r="E434" s="1" t="s">
        <v>376</v>
      </c>
      <c r="F434" s="1" t="s">
        <v>377</v>
      </c>
      <c r="G434" s="1">
        <v>71</v>
      </c>
      <c r="H434" s="1">
        <v>3</v>
      </c>
      <c r="I434" s="1">
        <v>2019</v>
      </c>
      <c r="J434" s="1">
        <v>29</v>
      </c>
      <c r="K434" s="1" t="s">
        <v>378</v>
      </c>
      <c r="O434" s="1" t="s">
        <v>379</v>
      </c>
    </row>
    <row r="435" spans="1:16" ht="15.75" customHeight="1">
      <c r="A435" s="1" t="s">
        <v>10</v>
      </c>
      <c r="B435" s="1" t="s">
        <v>6758</v>
      </c>
      <c r="C435" s="1" t="s">
        <v>6759</v>
      </c>
      <c r="D435" s="1" t="s">
        <v>6760</v>
      </c>
      <c r="E435" s="1" t="s">
        <v>6761</v>
      </c>
      <c r="F435" s="1" t="s">
        <v>6762</v>
      </c>
      <c r="H435" s="1">
        <v>2</v>
      </c>
      <c r="I435" s="1">
        <v>2019</v>
      </c>
      <c r="J435" s="1">
        <v>67</v>
      </c>
      <c r="K435" s="1">
        <v>1</v>
      </c>
      <c r="O435" s="1" t="s">
        <v>6763</v>
      </c>
    </row>
    <row r="436" spans="1:16" ht="15.75" customHeight="1">
      <c r="A436" s="1" t="s">
        <v>10</v>
      </c>
      <c r="B436" s="1" t="s">
        <v>719</v>
      </c>
      <c r="C436" s="1" t="s">
        <v>720</v>
      </c>
      <c r="D436" s="1" t="s">
        <v>721</v>
      </c>
      <c r="E436" s="1" t="s">
        <v>722</v>
      </c>
      <c r="F436" s="1" t="s">
        <v>723</v>
      </c>
      <c r="H436" s="1">
        <v>2</v>
      </c>
      <c r="I436" s="1">
        <v>2019</v>
      </c>
      <c r="J436" s="1">
        <v>27</v>
      </c>
      <c r="K436" s="1">
        <v>55</v>
      </c>
      <c r="O436" s="1" t="s">
        <v>724</v>
      </c>
    </row>
    <row r="437" spans="1:16" ht="15.75" customHeight="1">
      <c r="A437" s="1" t="s">
        <v>10</v>
      </c>
      <c r="B437" s="1" t="s">
        <v>310</v>
      </c>
      <c r="C437" s="1" t="s">
        <v>311</v>
      </c>
      <c r="D437" s="1" t="s">
        <v>312</v>
      </c>
      <c r="E437" s="1" t="s">
        <v>313</v>
      </c>
      <c r="F437" s="1" t="s">
        <v>314</v>
      </c>
      <c r="H437" s="1">
        <v>2</v>
      </c>
      <c r="I437" s="1">
        <v>2019</v>
      </c>
      <c r="J437" s="1">
        <v>7</v>
      </c>
      <c r="K437" s="1">
        <v>2</v>
      </c>
      <c r="O437" s="1" t="s">
        <v>315</v>
      </c>
    </row>
    <row r="438" spans="1:16" ht="15.75" customHeight="1">
      <c r="A438" s="1" t="s">
        <v>0</v>
      </c>
      <c r="B438" s="1" t="s">
        <v>3201</v>
      </c>
      <c r="C438" s="1" t="s">
        <v>3202</v>
      </c>
      <c r="D438" s="1" t="s">
        <v>2910</v>
      </c>
      <c r="E438" s="1" t="s">
        <v>3203</v>
      </c>
      <c r="F438" s="1" t="s">
        <v>3204</v>
      </c>
      <c r="G438" s="1">
        <v>45</v>
      </c>
      <c r="H438" s="1">
        <v>2</v>
      </c>
      <c r="I438" s="1">
        <v>2019</v>
      </c>
      <c r="J438" s="1">
        <v>20</v>
      </c>
      <c r="K438" s="1" t="s">
        <v>6</v>
      </c>
      <c r="L438" s="1" t="s">
        <v>6</v>
      </c>
      <c r="M438" s="1" t="s">
        <v>6</v>
      </c>
      <c r="N438" s="1" t="s">
        <v>3205</v>
      </c>
      <c r="O438" s="1" t="s">
        <v>3206</v>
      </c>
      <c r="P438" s="3" t="str">
        <f>HYPERLINK("http://dx.doi.org/10.21670/ref.1916037","http://dx.doi.org/10.21670/ref.1916037")</f>
        <v>http://dx.doi.org/10.21670/ref.1916037</v>
      </c>
    </row>
    <row r="439" spans="1:16" ht="15.75" customHeight="1">
      <c r="A439" s="1" t="s">
        <v>10</v>
      </c>
      <c r="B439" s="1" t="s">
        <v>5139</v>
      </c>
      <c r="C439" s="1" t="s">
        <v>5140</v>
      </c>
      <c r="D439" s="1" t="s">
        <v>3691</v>
      </c>
      <c r="E439" s="1" t="s">
        <v>5141</v>
      </c>
      <c r="F439" s="1" t="s">
        <v>5142</v>
      </c>
      <c r="H439" s="1">
        <v>2</v>
      </c>
      <c r="I439" s="1">
        <v>2019</v>
      </c>
      <c r="J439" s="1">
        <v>13</v>
      </c>
      <c r="K439" s="1">
        <v>4</v>
      </c>
    </row>
    <row r="440" spans="1:16" ht="15.75" customHeight="1">
      <c r="A440" s="1" t="s">
        <v>10</v>
      </c>
      <c r="B440" s="1" t="s">
        <v>4559</v>
      </c>
      <c r="C440" s="1" t="s">
        <v>4560</v>
      </c>
      <c r="D440" s="1" t="s">
        <v>3307</v>
      </c>
      <c r="E440" s="1" t="s">
        <v>4561</v>
      </c>
      <c r="F440" s="1" t="s">
        <v>4562</v>
      </c>
      <c r="H440" s="1">
        <v>2</v>
      </c>
      <c r="I440" s="1">
        <v>2019</v>
      </c>
      <c r="J440" s="1">
        <v>38</v>
      </c>
      <c r="K440" s="1">
        <v>2</v>
      </c>
      <c r="O440" s="1" t="s">
        <v>4563</v>
      </c>
    </row>
    <row r="441" spans="1:16" ht="15.75" customHeight="1">
      <c r="A441" s="1" t="s">
        <v>0</v>
      </c>
      <c r="B441" s="1" t="s">
        <v>3824</v>
      </c>
      <c r="C441" s="1" t="s">
        <v>3825</v>
      </c>
      <c r="D441" s="1" t="s">
        <v>2339</v>
      </c>
      <c r="E441" s="1" t="s">
        <v>3826</v>
      </c>
      <c r="F441" s="1" t="s">
        <v>3827</v>
      </c>
      <c r="G441" s="1">
        <v>59</v>
      </c>
      <c r="H441" s="1">
        <v>2</v>
      </c>
      <c r="I441" s="1">
        <v>2019</v>
      </c>
      <c r="K441" s="1" t="s">
        <v>3828</v>
      </c>
    </row>
    <row r="442" spans="1:16" ht="15.75" customHeight="1">
      <c r="A442" s="1" t="s">
        <v>0</v>
      </c>
      <c r="B442" s="1" t="s">
        <v>1369</v>
      </c>
      <c r="C442" s="1" t="s">
        <v>1370</v>
      </c>
      <c r="D442" s="1" t="s">
        <v>1371</v>
      </c>
      <c r="E442" s="1" t="s">
        <v>1372</v>
      </c>
      <c r="F442" s="1" t="s">
        <v>1373</v>
      </c>
      <c r="G442" s="1">
        <v>47</v>
      </c>
      <c r="H442" s="1">
        <v>2</v>
      </c>
      <c r="I442" s="1">
        <v>2019</v>
      </c>
      <c r="J442" s="1">
        <v>45</v>
      </c>
      <c r="K442" s="1" t="s">
        <v>605</v>
      </c>
    </row>
    <row r="443" spans="1:16" ht="15.75" customHeight="1">
      <c r="A443" s="1" t="s">
        <v>0</v>
      </c>
      <c r="B443" s="1" t="s">
        <v>6622</v>
      </c>
      <c r="C443" s="1" t="s">
        <v>6623</v>
      </c>
      <c r="D443" s="1" t="s">
        <v>696</v>
      </c>
      <c r="E443" s="1" t="s">
        <v>6624</v>
      </c>
      <c r="F443" s="1" t="s">
        <v>6625</v>
      </c>
      <c r="G443" s="1">
        <v>38</v>
      </c>
      <c r="H443" s="1">
        <v>1</v>
      </c>
      <c r="I443" s="1">
        <v>2019</v>
      </c>
      <c r="J443" s="1">
        <v>18</v>
      </c>
      <c r="K443" s="1">
        <v>5</v>
      </c>
      <c r="L443" s="1" t="s">
        <v>6</v>
      </c>
      <c r="M443" s="1" t="s">
        <v>6</v>
      </c>
      <c r="N443" s="1" t="s">
        <v>6</v>
      </c>
      <c r="O443" s="1" t="s">
        <v>6626</v>
      </c>
      <c r="P443" s="3" t="str">
        <f>HYPERLINK("http://dx.doi.org/10.11144/Javeriana.upsy18-5.feai","http://dx.doi.org/10.11144/Javeriana.upsy18-5.feai")</f>
        <v>http://dx.doi.org/10.11144/Javeriana.upsy18-5.feai</v>
      </c>
    </row>
    <row r="444" spans="1:16" ht="15.75" customHeight="1">
      <c r="A444" s="1" t="s">
        <v>463</v>
      </c>
      <c r="B444" s="1" t="s">
        <v>4150</v>
      </c>
      <c r="C444" s="1" t="s">
        <v>4151</v>
      </c>
      <c r="D444" s="1" t="s">
        <v>4152</v>
      </c>
      <c r="E444" s="1" t="s">
        <v>4153</v>
      </c>
      <c r="F444" s="1" t="s">
        <v>4154</v>
      </c>
      <c r="H444" s="1">
        <v>1</v>
      </c>
      <c r="I444" s="1">
        <v>2019</v>
      </c>
      <c r="O444" s="1" t="s">
        <v>4155</v>
      </c>
    </row>
    <row r="445" spans="1:16" ht="15.75" customHeight="1">
      <c r="A445" s="1" t="s">
        <v>0</v>
      </c>
      <c r="B445" s="1" t="s">
        <v>4223</v>
      </c>
      <c r="C445" s="1" t="s">
        <v>4224</v>
      </c>
      <c r="D445" s="1" t="s">
        <v>4225</v>
      </c>
      <c r="E445" s="1" t="s">
        <v>4226</v>
      </c>
      <c r="F445" s="1" t="s">
        <v>4227</v>
      </c>
      <c r="G445" s="1">
        <v>26</v>
      </c>
      <c r="H445" s="1">
        <v>1</v>
      </c>
      <c r="I445" s="1">
        <v>2019</v>
      </c>
      <c r="J445" s="1">
        <v>11</v>
      </c>
      <c r="K445" s="1">
        <v>2</v>
      </c>
      <c r="L445" s="1">
        <v>103</v>
      </c>
      <c r="M445" s="1">
        <v>120</v>
      </c>
      <c r="N445" s="1" t="s">
        <v>6</v>
      </c>
      <c r="O445" s="1" t="s">
        <v>4228</v>
      </c>
      <c r="P445" s="3" t="str">
        <f>HYPERLINK("http://dx.doi.org/10.17151/rlef.2019.11.2.6","http://dx.doi.org/10.17151/rlef.2019.11.2.6")</f>
        <v>http://dx.doi.org/10.17151/rlef.2019.11.2.6</v>
      </c>
    </row>
    <row r="446" spans="1:16" ht="15.75" customHeight="1">
      <c r="A446" s="1" t="s">
        <v>10</v>
      </c>
      <c r="B446" s="1" t="s">
        <v>1283</v>
      </c>
      <c r="C446" s="1" t="s">
        <v>1289</v>
      </c>
      <c r="D446" s="1" t="s">
        <v>1290</v>
      </c>
      <c r="E446" s="1" t="s">
        <v>1291</v>
      </c>
      <c r="F446" s="1" t="s">
        <v>1292</v>
      </c>
      <c r="H446" s="1">
        <v>1</v>
      </c>
      <c r="I446" s="1">
        <v>2019</v>
      </c>
      <c r="J446" s="1">
        <v>23</v>
      </c>
      <c r="K446" s="1">
        <v>2</v>
      </c>
      <c r="O446" s="1" t="s">
        <v>1293</v>
      </c>
    </row>
    <row r="447" spans="1:16" ht="15.75" customHeight="1">
      <c r="A447" s="1" t="s">
        <v>10</v>
      </c>
      <c r="B447" s="1" t="s">
        <v>5367</v>
      </c>
      <c r="C447" s="1" t="s">
        <v>5368</v>
      </c>
      <c r="D447" s="1" t="s">
        <v>70</v>
      </c>
      <c r="E447" s="1" t="s">
        <v>5369</v>
      </c>
      <c r="F447" s="1" t="s">
        <v>5370</v>
      </c>
      <c r="H447" s="1">
        <v>1</v>
      </c>
      <c r="I447" s="1">
        <v>2019</v>
      </c>
      <c r="J447" s="1">
        <v>10</v>
      </c>
      <c r="K447" s="1">
        <v>36</v>
      </c>
      <c r="O447" s="1" t="s">
        <v>5371</v>
      </c>
    </row>
    <row r="448" spans="1:16" ht="15.75" customHeight="1">
      <c r="A448" s="1" t="s">
        <v>10</v>
      </c>
      <c r="B448" s="1" t="s">
        <v>6862</v>
      </c>
      <c r="C448" s="1" t="s">
        <v>6863</v>
      </c>
      <c r="D448" s="2" t="s">
        <v>1874</v>
      </c>
      <c r="E448" s="1" t="s">
        <v>6864</v>
      </c>
      <c r="F448" s="1" t="s">
        <v>6865</v>
      </c>
      <c r="H448" s="1">
        <v>1</v>
      </c>
      <c r="I448" s="1">
        <v>2019</v>
      </c>
      <c r="K448" s="1">
        <v>46</v>
      </c>
      <c r="O448" s="1" t="s">
        <v>6866</v>
      </c>
    </row>
    <row r="449" spans="1:16" ht="15.75" customHeight="1">
      <c r="A449" s="1" t="s">
        <v>10</v>
      </c>
      <c r="B449" s="1" t="s">
        <v>4394</v>
      </c>
      <c r="C449" s="1" t="s">
        <v>4404</v>
      </c>
      <c r="D449" s="1" t="s">
        <v>2857</v>
      </c>
      <c r="E449" s="1" t="s">
        <v>4405</v>
      </c>
      <c r="F449" s="1" t="s">
        <v>4406</v>
      </c>
      <c r="H449" s="1">
        <v>1</v>
      </c>
      <c r="I449" s="1">
        <v>2019</v>
      </c>
      <c r="J449" s="1">
        <v>45</v>
      </c>
      <c r="K449" s="1">
        <v>1</v>
      </c>
      <c r="O449" s="1" t="s">
        <v>4407</v>
      </c>
    </row>
    <row r="450" spans="1:16" ht="15.75" customHeight="1">
      <c r="A450" s="1" t="s">
        <v>10</v>
      </c>
      <c r="B450" s="1" t="s">
        <v>851</v>
      </c>
      <c r="C450" s="1" t="s">
        <v>862</v>
      </c>
      <c r="D450" s="1" t="s">
        <v>858</v>
      </c>
      <c r="E450" s="1" t="s">
        <v>863</v>
      </c>
      <c r="F450" s="1" t="s">
        <v>864</v>
      </c>
      <c r="H450" s="1">
        <v>1</v>
      </c>
      <c r="I450" s="1">
        <v>2019</v>
      </c>
      <c r="J450" s="1">
        <v>38</v>
      </c>
      <c r="K450" s="1">
        <v>2</v>
      </c>
      <c r="O450" s="1" t="s">
        <v>865</v>
      </c>
    </row>
    <row r="451" spans="1:16" ht="15.75" customHeight="1">
      <c r="A451" s="1" t="s">
        <v>10</v>
      </c>
      <c r="B451" s="1" t="s">
        <v>2855</v>
      </c>
      <c r="C451" s="1" t="s">
        <v>2856</v>
      </c>
      <c r="D451" s="1" t="s">
        <v>2857</v>
      </c>
      <c r="E451" s="1" t="s">
        <v>2858</v>
      </c>
      <c r="F451" s="1" t="s">
        <v>2859</v>
      </c>
      <c r="H451" s="1">
        <v>1</v>
      </c>
      <c r="I451" s="1">
        <v>2019</v>
      </c>
      <c r="J451" s="1">
        <v>45</v>
      </c>
      <c r="K451" s="1">
        <v>3</v>
      </c>
      <c r="O451" s="1" t="s">
        <v>2860</v>
      </c>
    </row>
    <row r="452" spans="1:16" ht="15.75" customHeight="1">
      <c r="A452" s="1" t="s">
        <v>0</v>
      </c>
      <c r="B452" s="1" t="s">
        <v>4579</v>
      </c>
      <c r="C452" s="1" t="s">
        <v>4580</v>
      </c>
      <c r="D452" s="1" t="s">
        <v>4581</v>
      </c>
      <c r="E452" s="1" t="s">
        <v>4582</v>
      </c>
      <c r="F452" s="1" t="s">
        <v>4583</v>
      </c>
      <c r="G452" s="1">
        <v>63</v>
      </c>
      <c r="H452" s="1">
        <v>1</v>
      </c>
      <c r="I452" s="1">
        <v>2019</v>
      </c>
      <c r="J452" s="1">
        <v>51</v>
      </c>
      <c r="K452" s="1" t="s">
        <v>4584</v>
      </c>
      <c r="O452" s="1" t="s">
        <v>4585</v>
      </c>
    </row>
    <row r="453" spans="1:16" ht="15.75" customHeight="1">
      <c r="A453" s="1" t="s">
        <v>0</v>
      </c>
      <c r="B453" s="1" t="s">
        <v>3139</v>
      </c>
      <c r="C453" s="1" t="s">
        <v>3140</v>
      </c>
      <c r="D453" s="1" t="s">
        <v>1371</v>
      </c>
      <c r="E453" s="1" t="s">
        <v>3141</v>
      </c>
      <c r="F453" s="1" t="s">
        <v>3142</v>
      </c>
      <c r="G453" s="1">
        <v>23</v>
      </c>
      <c r="H453" s="1">
        <v>1</v>
      </c>
      <c r="I453" s="1">
        <v>2019</v>
      </c>
      <c r="J453" s="1">
        <v>45</v>
      </c>
      <c r="K453" s="1" t="s">
        <v>605</v>
      </c>
    </row>
    <row r="454" spans="1:16" ht="15.75" customHeight="1">
      <c r="A454" s="1" t="s">
        <v>0</v>
      </c>
      <c r="B454" s="1" t="s">
        <v>3987</v>
      </c>
      <c r="C454" s="1" t="s">
        <v>3988</v>
      </c>
      <c r="D454" s="1" t="s">
        <v>3989</v>
      </c>
      <c r="E454" s="1" t="s">
        <v>3990</v>
      </c>
      <c r="F454" s="1" t="s">
        <v>3991</v>
      </c>
      <c r="G454" s="1">
        <v>48</v>
      </c>
      <c r="H454" s="1">
        <v>1</v>
      </c>
      <c r="I454" s="1">
        <v>2019</v>
      </c>
      <c r="J454" s="1" t="s">
        <v>6</v>
      </c>
      <c r="K454" s="1">
        <v>10</v>
      </c>
      <c r="L454" s="1">
        <v>159</v>
      </c>
      <c r="M454" s="1">
        <v>186</v>
      </c>
      <c r="N454" s="1" t="s">
        <v>6</v>
      </c>
      <c r="O454" s="1" t="s">
        <v>3992</v>
      </c>
      <c r="P454" s="3" t="str">
        <f>HYPERLINK("http://dx.doi.org/10.14516/fdp.2019.010.001.006","http://dx.doi.org/10.14516/fdp.2019.010.001.006")</f>
        <v>http://dx.doi.org/10.14516/fdp.2019.010.001.006</v>
      </c>
    </row>
    <row r="455" spans="1:16" ht="15.75" customHeight="1">
      <c r="A455" s="1" t="s">
        <v>0</v>
      </c>
      <c r="B455" s="1" t="s">
        <v>1643</v>
      </c>
      <c r="C455" s="1" t="s">
        <v>1644</v>
      </c>
      <c r="D455" s="1" t="s">
        <v>1645</v>
      </c>
      <c r="E455" s="1" t="s">
        <v>1646</v>
      </c>
      <c r="F455" s="1" t="s">
        <v>1647</v>
      </c>
      <c r="G455" s="1">
        <v>64</v>
      </c>
      <c r="H455" s="1">
        <v>1</v>
      </c>
      <c r="I455" s="1">
        <v>2019</v>
      </c>
      <c r="J455" s="1">
        <v>104</v>
      </c>
      <c r="K455" s="1">
        <v>1</v>
      </c>
      <c r="L455" s="1">
        <v>101</v>
      </c>
      <c r="M455" s="1">
        <v>128</v>
      </c>
      <c r="N455" s="1" t="s">
        <v>6</v>
      </c>
      <c r="O455" s="1" t="s">
        <v>1648</v>
      </c>
      <c r="P455" s="3" t="str">
        <f>HYPERLINK("http://dx.doi.org/10.5565/rev/papers.2346","http://dx.doi.org/10.5565/rev/papers.2346")</f>
        <v>http://dx.doi.org/10.5565/rev/papers.2346</v>
      </c>
    </row>
    <row r="456" spans="1:16" ht="15.75" customHeight="1">
      <c r="A456" s="1" t="s">
        <v>0</v>
      </c>
      <c r="B456" s="1" t="s">
        <v>3755</v>
      </c>
      <c r="C456" s="1" t="s">
        <v>3756</v>
      </c>
      <c r="D456" s="1" t="s">
        <v>3757</v>
      </c>
      <c r="E456" s="1" t="s">
        <v>3758</v>
      </c>
      <c r="F456" s="1" t="s">
        <v>3759</v>
      </c>
      <c r="G456" s="1">
        <v>73</v>
      </c>
      <c r="H456" s="1">
        <v>1</v>
      </c>
      <c r="I456" s="1">
        <v>2019</v>
      </c>
      <c r="J456" s="1">
        <v>25</v>
      </c>
      <c r="K456" s="1">
        <v>3</v>
      </c>
      <c r="L456" s="1">
        <v>577</v>
      </c>
      <c r="M456" s="1">
        <v>598</v>
      </c>
      <c r="N456" s="1" t="s">
        <v>6</v>
      </c>
      <c r="O456" s="1" t="s">
        <v>3760</v>
      </c>
      <c r="P456" s="3" t="str">
        <f>HYPERLINK("http://dx.doi.org/10.1590/TEM-1980-542X2019v250303","http://dx.doi.org/10.1590/TEM-1980-542X2019v250303")</f>
        <v>http://dx.doi.org/10.1590/TEM-1980-542X2019v250303</v>
      </c>
    </row>
    <row r="457" spans="1:16" ht="15.75" customHeight="1">
      <c r="A457" s="1" t="s">
        <v>0</v>
      </c>
      <c r="B457" s="1" t="s">
        <v>3471</v>
      </c>
      <c r="C457" s="1" t="s">
        <v>3477</v>
      </c>
      <c r="D457" s="2" t="s">
        <v>3478</v>
      </c>
      <c r="E457" s="1" t="s">
        <v>3479</v>
      </c>
      <c r="F457" s="1" t="s">
        <v>3480</v>
      </c>
      <c r="G457" s="1">
        <v>25</v>
      </c>
      <c r="H457" s="1">
        <v>1</v>
      </c>
      <c r="I457" s="1">
        <v>2019</v>
      </c>
      <c r="J457" s="1">
        <v>27</v>
      </c>
      <c r="K457" s="1" t="s">
        <v>1854</v>
      </c>
      <c r="O457" s="1" t="s">
        <v>3481</v>
      </c>
    </row>
    <row r="458" spans="1:16" ht="15.75" customHeight="1">
      <c r="A458" s="1" t="s">
        <v>0</v>
      </c>
      <c r="B458" s="1" t="s">
        <v>1997</v>
      </c>
      <c r="C458" s="1" t="s">
        <v>1998</v>
      </c>
      <c r="D458" s="1" t="s">
        <v>1999</v>
      </c>
      <c r="E458" s="1" t="s">
        <v>2000</v>
      </c>
      <c r="F458" s="1" t="s">
        <v>2001</v>
      </c>
      <c r="G458" s="1">
        <v>27</v>
      </c>
      <c r="H458" s="1">
        <v>1</v>
      </c>
      <c r="I458" s="1">
        <v>2019</v>
      </c>
      <c r="J458" s="1" t="s">
        <v>6</v>
      </c>
      <c r="K458" s="1">
        <v>31</v>
      </c>
      <c r="L458" s="1">
        <v>32</v>
      </c>
      <c r="M458" s="1">
        <v>41</v>
      </c>
      <c r="N458" s="1" t="s">
        <v>6</v>
      </c>
      <c r="O458" s="1" t="s">
        <v>6</v>
      </c>
      <c r="P458" s="1" t="s">
        <v>6</v>
      </c>
    </row>
    <row r="459" spans="1:16" ht="15.75" customHeight="1">
      <c r="A459" s="1" t="s">
        <v>10</v>
      </c>
      <c r="B459" s="1" t="s">
        <v>5296</v>
      </c>
      <c r="C459" s="1" t="s">
        <v>5297</v>
      </c>
      <c r="D459" s="1" t="s">
        <v>3878</v>
      </c>
      <c r="E459" s="1" t="s">
        <v>5298</v>
      </c>
      <c r="F459" s="1" t="s">
        <v>5299</v>
      </c>
      <c r="H459" s="1">
        <v>0</v>
      </c>
      <c r="I459" s="1">
        <v>2019</v>
      </c>
      <c r="J459" s="1">
        <v>27</v>
      </c>
      <c r="K459" s="1">
        <v>71</v>
      </c>
      <c r="O459" s="1" t="s">
        <v>5300</v>
      </c>
    </row>
    <row r="460" spans="1:16" ht="15.75" customHeight="1">
      <c r="A460" s="1" t="s">
        <v>10</v>
      </c>
      <c r="B460" s="1" t="s">
        <v>1976</v>
      </c>
      <c r="C460" s="1" t="s">
        <v>1977</v>
      </c>
      <c r="D460" s="1" t="s">
        <v>1978</v>
      </c>
      <c r="E460" s="1" t="s">
        <v>1979</v>
      </c>
      <c r="F460" s="1" t="s">
        <v>1980</v>
      </c>
      <c r="H460" s="1">
        <v>0</v>
      </c>
      <c r="I460" s="1">
        <v>2019</v>
      </c>
      <c r="J460" s="1">
        <v>5</v>
      </c>
      <c r="K460" s="1">
        <v>3</v>
      </c>
      <c r="O460" s="1" t="s">
        <v>1981</v>
      </c>
    </row>
    <row r="461" spans="1:16" ht="15.75" customHeight="1">
      <c r="A461" s="1" t="s">
        <v>10</v>
      </c>
      <c r="B461" s="1" t="s">
        <v>1066</v>
      </c>
      <c r="C461" s="1" t="s">
        <v>1067</v>
      </c>
      <c r="D461" s="1" t="s">
        <v>1068</v>
      </c>
      <c r="E461" s="1" t="s">
        <v>1069</v>
      </c>
      <c r="F461" s="1" t="s">
        <v>1070</v>
      </c>
      <c r="H461" s="1">
        <v>0</v>
      </c>
      <c r="I461" s="1">
        <v>2019</v>
      </c>
      <c r="J461" s="1">
        <v>16</v>
      </c>
      <c r="O461" s="1" t="s">
        <v>1071</v>
      </c>
    </row>
    <row r="462" spans="1:16" ht="15.75" customHeight="1">
      <c r="A462" s="1" t="s">
        <v>463</v>
      </c>
      <c r="B462" s="1" t="s">
        <v>1747</v>
      </c>
      <c r="C462" s="1" t="s">
        <v>1748</v>
      </c>
      <c r="D462" s="1" t="s">
        <v>1749</v>
      </c>
      <c r="E462" s="1" t="s">
        <v>1750</v>
      </c>
      <c r="F462" s="1" t="s">
        <v>1751</v>
      </c>
      <c r="H462" s="1">
        <v>0</v>
      </c>
      <c r="I462" s="1">
        <v>2019</v>
      </c>
      <c r="O462" s="1" t="s">
        <v>1752</v>
      </c>
    </row>
    <row r="463" spans="1:16" ht="15.75" customHeight="1">
      <c r="A463" s="1" t="s">
        <v>0</v>
      </c>
      <c r="B463" s="1" t="s">
        <v>2471</v>
      </c>
      <c r="C463" s="1" t="s">
        <v>2472</v>
      </c>
      <c r="D463" s="1" t="s">
        <v>58</v>
      </c>
      <c r="E463" s="1" t="s">
        <v>2473</v>
      </c>
      <c r="F463" s="1" t="s">
        <v>2474</v>
      </c>
      <c r="G463" s="1">
        <v>22</v>
      </c>
      <c r="H463" s="1">
        <v>0</v>
      </c>
      <c r="I463" s="1">
        <v>2019</v>
      </c>
      <c r="J463" s="1">
        <v>19</v>
      </c>
      <c r="K463" s="1">
        <v>2</v>
      </c>
      <c r="L463" s="1">
        <v>7</v>
      </c>
      <c r="M463" s="1">
        <v>25</v>
      </c>
      <c r="N463" s="1" t="s">
        <v>6</v>
      </c>
      <c r="O463" s="1" t="s">
        <v>2475</v>
      </c>
      <c r="P463" s="3" t="str">
        <f>HYPERLINK("http://dx.doi.org/10.4067/S0719-09482019000200007","http://dx.doi.org/10.4067/S0719-09482019000200007")</f>
        <v>http://dx.doi.org/10.4067/S0719-09482019000200007</v>
      </c>
    </row>
    <row r="464" spans="1:16" ht="15.75" customHeight="1">
      <c r="A464" s="1" t="s">
        <v>0</v>
      </c>
      <c r="B464" s="1" t="s">
        <v>6296</v>
      </c>
      <c r="C464" s="1" t="s">
        <v>6297</v>
      </c>
      <c r="D464" s="1" t="s">
        <v>4717</v>
      </c>
      <c r="E464" s="1" t="s">
        <v>6298</v>
      </c>
      <c r="F464" s="1" t="s">
        <v>6299</v>
      </c>
      <c r="G464" s="1">
        <v>47</v>
      </c>
      <c r="H464" s="1">
        <v>0</v>
      </c>
      <c r="I464" s="1">
        <v>2019</v>
      </c>
      <c r="J464" s="1" t="s">
        <v>6</v>
      </c>
      <c r="K464" s="1">
        <v>48</v>
      </c>
      <c r="L464" s="1">
        <v>179</v>
      </c>
      <c r="M464" s="1">
        <v>193</v>
      </c>
      <c r="N464" s="1" t="s">
        <v>6</v>
      </c>
      <c r="O464" s="1" t="s">
        <v>6300</v>
      </c>
      <c r="P464" s="3" t="str">
        <f>HYPERLINK("http://dx.doi.org/10.32735/S0718-2201201900048625","http://dx.doi.org/10.32735/S0718-2201201900048625")</f>
        <v>http://dx.doi.org/10.32735/S0718-2201201900048625</v>
      </c>
    </row>
    <row r="465" spans="1:16" ht="15.75" customHeight="1">
      <c r="A465" s="1" t="s">
        <v>0</v>
      </c>
      <c r="B465" s="1" t="s">
        <v>678</v>
      </c>
      <c r="C465" s="1" t="s">
        <v>679</v>
      </c>
      <c r="D465" s="1" t="s">
        <v>680</v>
      </c>
      <c r="E465" s="1" t="s">
        <v>681</v>
      </c>
      <c r="F465" s="1" t="s">
        <v>682</v>
      </c>
      <c r="G465" s="1">
        <v>24</v>
      </c>
      <c r="H465" s="1">
        <v>0</v>
      </c>
      <c r="I465" s="1">
        <v>2019</v>
      </c>
      <c r="J465" s="1">
        <v>29</v>
      </c>
      <c r="K465" s="1">
        <v>1</v>
      </c>
      <c r="L465" s="1">
        <v>29</v>
      </c>
      <c r="M465" s="1">
        <v>44</v>
      </c>
      <c r="N465" s="1" t="s">
        <v>6</v>
      </c>
      <c r="O465" s="1" t="s">
        <v>6</v>
      </c>
      <c r="P465" s="1" t="s">
        <v>6</v>
      </c>
    </row>
    <row r="466" spans="1:16" ht="15.75" customHeight="1">
      <c r="A466" s="1" t="s">
        <v>10</v>
      </c>
      <c r="B466" s="1" t="s">
        <v>5718</v>
      </c>
      <c r="C466" s="1" t="s">
        <v>5719</v>
      </c>
      <c r="D466" s="1" t="s">
        <v>5720</v>
      </c>
      <c r="E466" s="1" t="s">
        <v>5721</v>
      </c>
      <c r="F466" s="1" t="s">
        <v>5722</v>
      </c>
      <c r="H466" s="1">
        <v>0</v>
      </c>
      <c r="I466" s="1">
        <v>2019</v>
      </c>
      <c r="J466" s="1">
        <v>37</v>
      </c>
      <c r="K466" s="1">
        <v>1</v>
      </c>
    </row>
    <row r="467" spans="1:16" ht="15.75" customHeight="1">
      <c r="A467" s="1" t="s">
        <v>10</v>
      </c>
      <c r="B467" s="1" t="s">
        <v>3870</v>
      </c>
      <c r="C467" s="1" t="s">
        <v>3871</v>
      </c>
      <c r="D467" s="1" t="s">
        <v>3872</v>
      </c>
      <c r="E467" s="1" t="s">
        <v>3873</v>
      </c>
      <c r="F467" s="1" t="s">
        <v>3874</v>
      </c>
      <c r="H467" s="1">
        <v>0</v>
      </c>
      <c r="I467" s="1">
        <v>2019</v>
      </c>
      <c r="J467" s="1">
        <v>11</v>
      </c>
      <c r="K467" s="1">
        <v>1</v>
      </c>
      <c r="O467" s="1" t="s">
        <v>3875</v>
      </c>
    </row>
    <row r="468" spans="1:16" ht="15.75" customHeight="1">
      <c r="A468" s="1" t="s">
        <v>0</v>
      </c>
      <c r="B468" s="1" t="s">
        <v>5902</v>
      </c>
      <c r="C468" s="1" t="s">
        <v>5903</v>
      </c>
      <c r="D468" s="1" t="s">
        <v>996</v>
      </c>
      <c r="E468" s="1" t="s">
        <v>5904</v>
      </c>
      <c r="F468" s="1" t="s">
        <v>5905</v>
      </c>
      <c r="G468" s="1">
        <v>32</v>
      </c>
      <c r="H468" s="1">
        <v>0</v>
      </c>
      <c r="I468" s="1">
        <v>2019</v>
      </c>
      <c r="J468" s="1">
        <v>29</v>
      </c>
      <c r="K468" s="1">
        <v>1</v>
      </c>
      <c r="L468" s="1">
        <v>59</v>
      </c>
      <c r="M468" s="1">
        <v>79</v>
      </c>
      <c r="N468" s="1" t="s">
        <v>6</v>
      </c>
      <c r="O468" s="1" t="s">
        <v>5906</v>
      </c>
      <c r="P468" s="3" t="str">
        <f>HYPERLINK("http://dx.doi.org/10.7770/0719-2789.2019.CUHSO.02.A04","http://dx.doi.org/10.7770/0719-2789.2019.CUHSO.02.A04")</f>
        <v>http://dx.doi.org/10.7770/0719-2789.2019.CUHSO.02.A04</v>
      </c>
    </row>
    <row r="469" spans="1:16" ht="15.75" customHeight="1">
      <c r="A469" s="1" t="s">
        <v>0</v>
      </c>
      <c r="B469" s="1" t="s">
        <v>5490</v>
      </c>
      <c r="C469" s="1" t="s">
        <v>5491</v>
      </c>
      <c r="D469" s="1" t="s">
        <v>5374</v>
      </c>
      <c r="E469" s="1" t="s">
        <v>5492</v>
      </c>
      <c r="F469" s="1" t="s">
        <v>5493</v>
      </c>
      <c r="G469" s="1">
        <v>83</v>
      </c>
      <c r="H469" s="1">
        <v>0</v>
      </c>
      <c r="I469" s="1">
        <v>2019</v>
      </c>
      <c r="J469" s="1">
        <v>34</v>
      </c>
      <c r="K469" s="1">
        <v>96</v>
      </c>
      <c r="L469" s="1">
        <v>77</v>
      </c>
      <c r="M469" s="1">
        <v>102</v>
      </c>
      <c r="N469" s="1" t="s">
        <v>6</v>
      </c>
      <c r="O469" s="1" t="s">
        <v>6</v>
      </c>
      <c r="P469" s="1" t="s">
        <v>6</v>
      </c>
    </row>
    <row r="470" spans="1:16" ht="15.75" customHeight="1">
      <c r="A470" s="1" t="s">
        <v>0</v>
      </c>
      <c r="B470" s="1" t="s">
        <v>2768</v>
      </c>
      <c r="C470" s="1" t="s">
        <v>2769</v>
      </c>
      <c r="D470" s="1" t="s">
        <v>996</v>
      </c>
      <c r="E470" s="1" t="s">
        <v>2770</v>
      </c>
      <c r="F470" s="1" t="s">
        <v>2771</v>
      </c>
      <c r="G470" s="1">
        <v>21</v>
      </c>
      <c r="H470" s="1">
        <v>0</v>
      </c>
      <c r="I470" s="1">
        <v>2019</v>
      </c>
      <c r="J470" s="1">
        <v>29</v>
      </c>
      <c r="K470" s="1">
        <v>1</v>
      </c>
      <c r="L470" s="1">
        <v>13</v>
      </c>
      <c r="M470" s="1">
        <v>32</v>
      </c>
      <c r="N470" s="1" t="s">
        <v>6</v>
      </c>
      <c r="O470" s="1" t="s">
        <v>2772</v>
      </c>
      <c r="P470" s="3" t="str">
        <f>HYPERLINK("http://dx.doi.org/10.7770/0719-2789.2019.CUHSO.02.A02","http://dx.doi.org/10.7770/0719-2789.2019.CUHSO.02.A02")</f>
        <v>http://dx.doi.org/10.7770/0719-2789.2019.CUHSO.02.A02</v>
      </c>
    </row>
    <row r="471" spans="1:16" ht="15.75" customHeight="1">
      <c r="A471" s="1" t="s">
        <v>0</v>
      </c>
      <c r="B471" s="1" t="s">
        <v>834</v>
      </c>
      <c r="C471" s="1" t="s">
        <v>835</v>
      </c>
      <c r="D471" s="1" t="s">
        <v>836</v>
      </c>
      <c r="E471" s="1" t="s">
        <v>837</v>
      </c>
      <c r="F471" s="1" t="s">
        <v>838</v>
      </c>
      <c r="G471" s="1">
        <v>47</v>
      </c>
      <c r="H471" s="1">
        <v>0</v>
      </c>
      <c r="I471" s="1">
        <v>2019</v>
      </c>
      <c r="J471" s="1">
        <v>11</v>
      </c>
      <c r="K471" s="1">
        <v>1</v>
      </c>
      <c r="L471" s="1">
        <v>94</v>
      </c>
      <c r="M471" s="1">
        <v>122</v>
      </c>
      <c r="N471" s="1" t="s">
        <v>6</v>
      </c>
      <c r="O471" s="1" t="s">
        <v>839</v>
      </c>
      <c r="P471" s="3" t="str">
        <f>HYPERLINK("http://dx.doi.org/10.6092/issn.2036-0967/9563","http://dx.doi.org/10.6092/issn.2036-0967/9563")</f>
        <v>http://dx.doi.org/10.6092/issn.2036-0967/9563</v>
      </c>
    </row>
    <row r="472" spans="1:16" ht="15.75" customHeight="1">
      <c r="A472" s="1" t="s">
        <v>10</v>
      </c>
      <c r="B472" s="1" t="s">
        <v>3679</v>
      </c>
      <c r="C472" s="1" t="s">
        <v>3680</v>
      </c>
      <c r="D472" s="1" t="s">
        <v>3681</v>
      </c>
      <c r="E472" s="1" t="s">
        <v>3682</v>
      </c>
      <c r="F472" s="1" t="s">
        <v>3683</v>
      </c>
      <c r="H472" s="1">
        <v>0</v>
      </c>
      <c r="I472" s="1">
        <v>2019</v>
      </c>
      <c r="J472" s="1">
        <v>7</v>
      </c>
      <c r="K472" s="1">
        <v>2</v>
      </c>
      <c r="O472" s="1" t="s">
        <v>3684</v>
      </c>
    </row>
    <row r="473" spans="1:16" ht="15.75" customHeight="1">
      <c r="A473" s="1" t="s">
        <v>0</v>
      </c>
      <c r="B473" s="1" t="s">
        <v>44</v>
      </c>
      <c r="C473" s="1" t="s">
        <v>45</v>
      </c>
      <c r="D473" s="1" t="s">
        <v>46</v>
      </c>
      <c r="E473" s="1" t="s">
        <v>47</v>
      </c>
      <c r="F473" s="1" t="s">
        <v>48</v>
      </c>
      <c r="G473" s="1">
        <v>38</v>
      </c>
      <c r="H473" s="1">
        <v>0</v>
      </c>
      <c r="I473" s="1">
        <v>2019</v>
      </c>
      <c r="J473" s="1">
        <v>24</v>
      </c>
      <c r="K473" s="1">
        <v>2</v>
      </c>
      <c r="L473" s="1">
        <v>49</v>
      </c>
      <c r="M473" s="1">
        <v>74</v>
      </c>
      <c r="N473" s="1" t="s">
        <v>6</v>
      </c>
      <c r="O473" s="1" t="s">
        <v>49</v>
      </c>
      <c r="P473" s="3" t="str">
        <f>HYPERLINK("http://dx.doi.org/10.18273/revanu.v24n2-2019002","http://dx.doi.org/10.18273/revanu.v24n2-2019002")</f>
        <v>http://dx.doi.org/10.18273/revanu.v24n2-2019002</v>
      </c>
    </row>
    <row r="474" spans="1:16" ht="15.75" customHeight="1">
      <c r="A474" s="1" t="s">
        <v>0</v>
      </c>
      <c r="B474" s="1" t="s">
        <v>5239</v>
      </c>
      <c r="C474" s="1" t="s">
        <v>5240</v>
      </c>
      <c r="D474" s="1" t="s">
        <v>5241</v>
      </c>
      <c r="E474" s="1" t="s">
        <v>5242</v>
      </c>
      <c r="F474" s="1" t="s">
        <v>5243</v>
      </c>
      <c r="G474" s="1">
        <v>21</v>
      </c>
      <c r="H474" s="1">
        <v>0</v>
      </c>
      <c r="I474" s="1">
        <v>2019</v>
      </c>
      <c r="J474" s="1">
        <v>12</v>
      </c>
      <c r="K474" s="1">
        <v>24</v>
      </c>
      <c r="L474" s="1">
        <v>459</v>
      </c>
      <c r="M474" s="1">
        <v>487</v>
      </c>
      <c r="N474" s="1" t="s">
        <v>6</v>
      </c>
      <c r="O474" s="1" t="s">
        <v>5244</v>
      </c>
      <c r="P474" s="3" t="str">
        <f>HYPERLINK("http://dx.doi.org/10.5433/1984-3356.2019v12n24p459","http://dx.doi.org/10.5433/1984-3356.2019v12n24p459")</f>
        <v>http://dx.doi.org/10.5433/1984-3356.2019v12n24p459</v>
      </c>
    </row>
    <row r="475" spans="1:16" ht="15.75" customHeight="1">
      <c r="A475" s="1" t="s">
        <v>0</v>
      </c>
      <c r="B475" s="1" t="s">
        <v>5644</v>
      </c>
      <c r="C475" s="1" t="s">
        <v>5645</v>
      </c>
      <c r="D475" s="1" t="s">
        <v>5202</v>
      </c>
      <c r="E475" s="1" t="s">
        <v>5646</v>
      </c>
      <c r="F475" s="1" t="s">
        <v>5647</v>
      </c>
      <c r="G475" s="1">
        <v>41</v>
      </c>
      <c r="H475" s="1">
        <v>0</v>
      </c>
      <c r="I475" s="1">
        <v>2019</v>
      </c>
      <c r="J475" s="1">
        <v>18</v>
      </c>
      <c r="K475" s="1">
        <v>69</v>
      </c>
      <c r="L475" s="1">
        <v>33</v>
      </c>
      <c r="M475" s="1">
        <v>51</v>
      </c>
      <c r="N475" s="1" t="s">
        <v>6</v>
      </c>
      <c r="O475" s="1" t="s">
        <v>6</v>
      </c>
      <c r="P475" s="1" t="s">
        <v>6</v>
      </c>
    </row>
    <row r="476" spans="1:16" ht="15.75" customHeight="1">
      <c r="A476" s="1" t="s">
        <v>0</v>
      </c>
      <c r="B476" s="1" t="s">
        <v>1813</v>
      </c>
      <c r="C476" s="1" t="s">
        <v>1814</v>
      </c>
      <c r="D476" s="1" t="s">
        <v>1815</v>
      </c>
      <c r="E476" s="1" t="s">
        <v>1816</v>
      </c>
      <c r="F476" s="1" t="s">
        <v>1817</v>
      </c>
      <c r="G476" s="1">
        <v>29</v>
      </c>
      <c r="H476" s="1">
        <v>0</v>
      </c>
      <c r="I476" s="1">
        <v>2019</v>
      </c>
      <c r="J476" s="1">
        <v>46</v>
      </c>
      <c r="K476" s="1" t="s">
        <v>6</v>
      </c>
      <c r="L476" s="1">
        <v>47</v>
      </c>
      <c r="M476" s="1">
        <v>64</v>
      </c>
      <c r="N476" s="1" t="s">
        <v>6</v>
      </c>
      <c r="O476" s="1" t="s">
        <v>6</v>
      </c>
      <c r="P476" s="1" t="s">
        <v>6</v>
      </c>
    </row>
    <row r="477" spans="1:16" ht="15.75" customHeight="1">
      <c r="A477" s="1" t="s">
        <v>0</v>
      </c>
      <c r="B477" s="1" t="s">
        <v>5409</v>
      </c>
      <c r="C477" s="1" t="s">
        <v>5410</v>
      </c>
      <c r="D477" s="1" t="s">
        <v>5411</v>
      </c>
      <c r="E477" s="1" t="s">
        <v>5412</v>
      </c>
      <c r="F477" s="1" t="s">
        <v>5413</v>
      </c>
      <c r="G477" s="1">
        <v>15</v>
      </c>
      <c r="H477" s="1">
        <v>0</v>
      </c>
      <c r="I477" s="1">
        <v>2019</v>
      </c>
      <c r="J477" s="1">
        <v>12</v>
      </c>
      <c r="K477" s="1">
        <v>1</v>
      </c>
      <c r="L477" s="1">
        <v>33</v>
      </c>
      <c r="M477" s="1">
        <v>55</v>
      </c>
      <c r="N477" s="1" t="s">
        <v>6</v>
      </c>
      <c r="O477" s="1" t="s">
        <v>5414</v>
      </c>
      <c r="P477" s="3" t="str">
        <f>HYPERLINK("http://dx.doi.org/10.22201/iij.24485306e.2019.2.13637","http://dx.doi.org/10.22201/iij.24485306e.2019.2.13637")</f>
        <v>http://dx.doi.org/10.22201/iij.24485306e.2019.2.13637</v>
      </c>
    </row>
    <row r="478" spans="1:16" ht="15.75" customHeight="1">
      <c r="A478" s="1" t="s">
        <v>0</v>
      </c>
      <c r="B478" s="1" t="s">
        <v>3158</v>
      </c>
      <c r="C478" s="1" t="s">
        <v>3159</v>
      </c>
      <c r="D478" s="1" t="s">
        <v>3160</v>
      </c>
      <c r="E478" s="1" t="s">
        <v>3161</v>
      </c>
      <c r="F478" s="1" t="s">
        <v>3162</v>
      </c>
      <c r="G478" s="1">
        <v>49</v>
      </c>
      <c r="H478" s="1">
        <v>0</v>
      </c>
      <c r="I478" s="1">
        <v>2019</v>
      </c>
      <c r="J478" s="1" t="s">
        <v>6</v>
      </c>
      <c r="K478" s="1">
        <v>25</v>
      </c>
      <c r="L478" s="1">
        <v>15</v>
      </c>
      <c r="M478" s="1">
        <v>31</v>
      </c>
      <c r="N478" s="1" t="s">
        <v>6</v>
      </c>
      <c r="O478" s="1" t="s">
        <v>3163</v>
      </c>
      <c r="P478" s="3" t="str">
        <f>HYPERLINK("http://dx.doi.org/10.20932/barataria.v0i25.472","http://dx.doi.org/10.20932/barataria.v0i25.472")</f>
        <v>http://dx.doi.org/10.20932/barataria.v0i25.472</v>
      </c>
    </row>
    <row r="479" spans="1:16" ht="15.75" customHeight="1">
      <c r="A479" s="1" t="s">
        <v>0</v>
      </c>
      <c r="B479" s="1" t="s">
        <v>3716</v>
      </c>
      <c r="C479" s="1" t="s">
        <v>3717</v>
      </c>
      <c r="D479" s="1" t="s">
        <v>1645</v>
      </c>
      <c r="E479" s="1" t="s">
        <v>3718</v>
      </c>
      <c r="F479" s="1" t="s">
        <v>3719</v>
      </c>
      <c r="G479" s="1">
        <v>0</v>
      </c>
      <c r="H479" s="1">
        <v>0</v>
      </c>
      <c r="I479" s="1">
        <v>2019</v>
      </c>
      <c r="J479" s="1">
        <v>104</v>
      </c>
      <c r="K479" s="1">
        <v>2</v>
      </c>
      <c r="L479" s="1">
        <v>149</v>
      </c>
      <c r="M479" s="1">
        <v>155</v>
      </c>
      <c r="N479" s="1" t="s">
        <v>6</v>
      </c>
      <c r="O479" s="1" t="s">
        <v>3720</v>
      </c>
      <c r="P479" s="3" t="str">
        <f>HYPERLINK("http://dx.doi.org/10.5565/rev/papers.2692","http://dx.doi.org/10.5565/rev/papers.2692")</f>
        <v>http://dx.doi.org/10.5565/rev/papers.2692</v>
      </c>
    </row>
    <row r="480" spans="1:16" ht="15.75" customHeight="1">
      <c r="A480" s="1" t="s">
        <v>0</v>
      </c>
      <c r="B480" s="1" t="s">
        <v>3457</v>
      </c>
      <c r="C480" s="1" t="s">
        <v>3458</v>
      </c>
      <c r="D480" s="1" t="s">
        <v>2664</v>
      </c>
      <c r="E480" s="1" t="s">
        <v>3459</v>
      </c>
      <c r="F480" s="1" t="s">
        <v>3460</v>
      </c>
      <c r="G480" s="1">
        <v>50</v>
      </c>
      <c r="H480" s="1">
        <v>0</v>
      </c>
      <c r="I480" s="1">
        <v>2019</v>
      </c>
      <c r="J480" s="1">
        <v>6</v>
      </c>
      <c r="K480" s="1">
        <v>1</v>
      </c>
      <c r="L480" s="1">
        <v>232</v>
      </c>
      <c r="M480" s="1">
        <v>255</v>
      </c>
      <c r="N480" s="1" t="s">
        <v>6</v>
      </c>
      <c r="O480" s="1" t="s">
        <v>6</v>
      </c>
      <c r="P480" s="1" t="s">
        <v>6</v>
      </c>
    </row>
    <row r="481" spans="1:16" ht="15.75" customHeight="1">
      <c r="A481" s="1" t="s">
        <v>0</v>
      </c>
      <c r="B481" s="1" t="s">
        <v>6061</v>
      </c>
      <c r="C481" s="1" t="s">
        <v>6062</v>
      </c>
      <c r="D481" s="1" t="s">
        <v>6063</v>
      </c>
      <c r="E481" s="1" t="s">
        <v>6064</v>
      </c>
      <c r="F481" s="1" t="s">
        <v>6065</v>
      </c>
      <c r="G481" s="1">
        <v>64</v>
      </c>
      <c r="H481" s="1">
        <v>0</v>
      </c>
      <c r="I481" s="1">
        <v>2019</v>
      </c>
      <c r="J481" s="1">
        <v>21</v>
      </c>
      <c r="K481" s="1">
        <v>3</v>
      </c>
      <c r="L481" s="1" t="s">
        <v>6</v>
      </c>
      <c r="M481" s="1" t="s">
        <v>6</v>
      </c>
      <c r="N481" s="1" t="s">
        <v>6066</v>
      </c>
      <c r="O481" s="1" t="s">
        <v>6067</v>
      </c>
      <c r="P481" s="3" t="str">
        <f>HYPERLINK("http://dx.doi.org/10.5565/rev/qpsicologia.1537","http://dx.doi.org/10.5565/rev/qpsicologia.1537")</f>
        <v>http://dx.doi.org/10.5565/rev/qpsicologia.1537</v>
      </c>
    </row>
    <row r="482" spans="1:16" ht="15.75" customHeight="1">
      <c r="A482" s="1" t="s">
        <v>10</v>
      </c>
      <c r="B482" s="1" t="s">
        <v>2086</v>
      </c>
      <c r="C482" s="1" t="s">
        <v>2087</v>
      </c>
      <c r="D482" s="1" t="s">
        <v>2088</v>
      </c>
      <c r="F482" s="1" t="s">
        <v>1767</v>
      </c>
      <c r="H482" s="1">
        <v>0</v>
      </c>
      <c r="I482" s="1">
        <v>2019</v>
      </c>
      <c r="J482" s="1">
        <v>21</v>
      </c>
      <c r="K482" s="1">
        <v>4</v>
      </c>
      <c r="O482" s="1" t="s">
        <v>2089</v>
      </c>
    </row>
    <row r="483" spans="1:16" ht="15.75" customHeight="1">
      <c r="A483" s="1" t="s">
        <v>10</v>
      </c>
      <c r="B483" s="1" t="s">
        <v>2224</v>
      </c>
      <c r="C483" s="1" t="s">
        <v>2225</v>
      </c>
      <c r="D483" s="1" t="s">
        <v>1285</v>
      </c>
      <c r="E483" s="1" t="s">
        <v>2226</v>
      </c>
      <c r="F483" s="1" t="s">
        <v>2227</v>
      </c>
      <c r="H483" s="1">
        <v>45</v>
      </c>
      <c r="I483" s="1">
        <v>2020</v>
      </c>
      <c r="J483" s="1">
        <v>24</v>
      </c>
      <c r="K483" s="1">
        <v>6</v>
      </c>
      <c r="O483" s="1" t="s">
        <v>2228</v>
      </c>
    </row>
    <row r="484" spans="1:16" ht="15.75" customHeight="1">
      <c r="A484" s="1" t="s">
        <v>10</v>
      </c>
      <c r="B484" s="1" t="s">
        <v>1890</v>
      </c>
      <c r="C484" s="1" t="s">
        <v>1891</v>
      </c>
      <c r="D484" s="1" t="s">
        <v>1892</v>
      </c>
      <c r="E484" s="1" t="s">
        <v>1893</v>
      </c>
      <c r="F484" s="1" t="s">
        <v>1894</v>
      </c>
      <c r="H484" s="1">
        <v>29</v>
      </c>
      <c r="I484" s="1">
        <v>2020</v>
      </c>
      <c r="J484" s="1">
        <v>21</v>
      </c>
      <c r="O484" s="1" t="s">
        <v>1895</v>
      </c>
    </row>
    <row r="485" spans="1:16" ht="15.75" customHeight="1">
      <c r="A485" s="1" t="s">
        <v>10</v>
      </c>
      <c r="B485" s="1" t="s">
        <v>6385</v>
      </c>
      <c r="C485" s="1" t="s">
        <v>6386</v>
      </c>
      <c r="D485" s="1" t="s">
        <v>6387</v>
      </c>
      <c r="E485" s="1" t="s">
        <v>6388</v>
      </c>
      <c r="F485" s="1" t="s">
        <v>6389</v>
      </c>
      <c r="H485" s="1">
        <v>29</v>
      </c>
      <c r="I485" s="1">
        <v>2020</v>
      </c>
      <c r="J485" s="1">
        <v>52</v>
      </c>
      <c r="K485" s="1">
        <v>1</v>
      </c>
      <c r="O485" s="1" t="s">
        <v>6390</v>
      </c>
    </row>
    <row r="486" spans="1:16" ht="15.75" customHeight="1">
      <c r="A486" s="1" t="s">
        <v>10</v>
      </c>
      <c r="B486" s="1" t="s">
        <v>4574</v>
      </c>
      <c r="C486" s="1" t="s">
        <v>4575</v>
      </c>
      <c r="D486" s="1" t="s">
        <v>706</v>
      </c>
      <c r="E486" s="1" t="s">
        <v>4576</v>
      </c>
      <c r="F486" s="1" t="s">
        <v>4577</v>
      </c>
      <c r="H486" s="1">
        <v>27</v>
      </c>
      <c r="I486" s="1">
        <v>2020</v>
      </c>
      <c r="J486" s="1">
        <v>57</v>
      </c>
      <c r="K486" s="1">
        <v>15</v>
      </c>
      <c r="O486" s="1" t="s">
        <v>4578</v>
      </c>
    </row>
    <row r="487" spans="1:16" ht="15.75" customHeight="1">
      <c r="A487" s="1" t="s">
        <v>0</v>
      </c>
      <c r="B487" s="1" t="s">
        <v>2246</v>
      </c>
      <c r="C487" s="1" t="s">
        <v>2247</v>
      </c>
      <c r="D487" s="1" t="s">
        <v>2248</v>
      </c>
      <c r="E487" s="1" t="s">
        <v>2249</v>
      </c>
      <c r="F487" s="1" t="s">
        <v>2250</v>
      </c>
      <c r="G487" s="1">
        <v>56</v>
      </c>
      <c r="H487" s="1">
        <v>27</v>
      </c>
      <c r="I487" s="1">
        <v>2020</v>
      </c>
      <c r="J487" s="1">
        <v>11</v>
      </c>
      <c r="K487" s="1">
        <v>1</v>
      </c>
      <c r="L487" s="1">
        <v>42</v>
      </c>
      <c r="M487" s="1">
        <v>61</v>
      </c>
      <c r="N487" s="1" t="s">
        <v>6</v>
      </c>
      <c r="O487" s="1" t="s">
        <v>6</v>
      </c>
      <c r="P487" s="1" t="s">
        <v>6</v>
      </c>
    </row>
    <row r="488" spans="1:16" ht="15.75" customHeight="1">
      <c r="A488" s="1" t="s">
        <v>10</v>
      </c>
      <c r="B488" s="1" t="s">
        <v>2795</v>
      </c>
      <c r="C488" s="1" t="s">
        <v>2796</v>
      </c>
      <c r="D488" s="1" t="s">
        <v>2797</v>
      </c>
      <c r="E488" s="1" t="s">
        <v>2798</v>
      </c>
      <c r="F488" s="1" t="s">
        <v>2799</v>
      </c>
      <c r="H488" s="1">
        <v>26</v>
      </c>
      <c r="I488" s="1">
        <v>2020</v>
      </c>
      <c r="J488" s="1">
        <v>26</v>
      </c>
      <c r="K488" s="1">
        <v>8</v>
      </c>
      <c r="O488" s="1" t="s">
        <v>2800</v>
      </c>
    </row>
    <row r="489" spans="1:16" ht="15.75" customHeight="1">
      <c r="A489" s="1" t="s">
        <v>10</v>
      </c>
      <c r="B489" s="1" t="s">
        <v>926</v>
      </c>
      <c r="C489" s="1" t="s">
        <v>927</v>
      </c>
      <c r="D489" s="1" t="s">
        <v>928</v>
      </c>
      <c r="E489" s="1" t="s">
        <v>929</v>
      </c>
      <c r="F489" s="1" t="s">
        <v>930</v>
      </c>
      <c r="H489" s="1">
        <v>24</v>
      </c>
      <c r="I489" s="1">
        <v>2020</v>
      </c>
      <c r="J489" s="1">
        <v>59</v>
      </c>
      <c r="K489" s="1">
        <v>3</v>
      </c>
      <c r="O489" s="1" t="s">
        <v>931</v>
      </c>
    </row>
    <row r="490" spans="1:16" ht="15.75" customHeight="1">
      <c r="A490" s="1" t="s">
        <v>10</v>
      </c>
      <c r="B490" s="1" t="s">
        <v>6031</v>
      </c>
      <c r="C490" s="1" t="s">
        <v>6032</v>
      </c>
      <c r="D490" s="1" t="s">
        <v>6033</v>
      </c>
      <c r="E490" s="1" t="s">
        <v>6034</v>
      </c>
      <c r="F490" s="1" t="s">
        <v>6035</v>
      </c>
      <c r="H490" s="1">
        <v>24</v>
      </c>
      <c r="I490" s="1">
        <v>2020</v>
      </c>
      <c r="J490" s="1">
        <v>34</v>
      </c>
      <c r="K490" s="1">
        <v>1</v>
      </c>
      <c r="O490" s="1" t="s">
        <v>6036</v>
      </c>
    </row>
    <row r="491" spans="1:16" ht="15.75" customHeight="1">
      <c r="A491" s="1" t="s">
        <v>0</v>
      </c>
      <c r="B491" s="1" t="s">
        <v>6374</v>
      </c>
      <c r="C491" s="1" t="s">
        <v>6375</v>
      </c>
      <c r="D491" s="2" t="s">
        <v>6376</v>
      </c>
      <c r="E491" s="1" t="s">
        <v>6377</v>
      </c>
      <c r="F491" s="1" t="s">
        <v>6378</v>
      </c>
      <c r="G491" s="1">
        <v>65</v>
      </c>
      <c r="H491" s="1">
        <v>21</v>
      </c>
      <c r="I491" s="1">
        <v>2020</v>
      </c>
      <c r="J491" s="1">
        <v>22</v>
      </c>
      <c r="K491" s="1" t="s">
        <v>1854</v>
      </c>
      <c r="O491" s="1" t="s">
        <v>6379</v>
      </c>
    </row>
    <row r="492" spans="1:16" ht="15.75" customHeight="1">
      <c r="A492" s="1" t="s">
        <v>10</v>
      </c>
      <c r="B492" s="1" t="s">
        <v>1294</v>
      </c>
      <c r="C492" s="1" t="s">
        <v>1295</v>
      </c>
      <c r="D492" s="1" t="s">
        <v>1296</v>
      </c>
      <c r="E492" s="1" t="s">
        <v>1297</v>
      </c>
      <c r="F492" s="1" t="s">
        <v>1298</v>
      </c>
      <c r="H492" s="1">
        <v>19</v>
      </c>
      <c r="I492" s="1">
        <v>2020</v>
      </c>
      <c r="O492" s="1" t="s">
        <v>1299</v>
      </c>
    </row>
    <row r="493" spans="1:16" ht="15.75" customHeight="1">
      <c r="A493" s="1" t="s">
        <v>10</v>
      </c>
      <c r="B493" s="1" t="s">
        <v>3540</v>
      </c>
      <c r="C493" s="1" t="s">
        <v>3541</v>
      </c>
      <c r="D493" s="1" t="s">
        <v>88</v>
      </c>
      <c r="E493" s="1" t="s">
        <v>3542</v>
      </c>
      <c r="F493" s="1" t="s">
        <v>3543</v>
      </c>
      <c r="H493" s="1">
        <v>19</v>
      </c>
      <c r="I493" s="1">
        <v>2020</v>
      </c>
      <c r="J493" s="1">
        <v>126</v>
      </c>
      <c r="O493" s="1" t="s">
        <v>3544</v>
      </c>
    </row>
    <row r="494" spans="1:16" ht="15.75" customHeight="1">
      <c r="A494" s="1" t="s">
        <v>0</v>
      </c>
      <c r="B494" s="1" t="s">
        <v>1717</v>
      </c>
      <c r="C494" s="1" t="s">
        <v>1718</v>
      </c>
      <c r="D494" s="1" t="s">
        <v>1719</v>
      </c>
      <c r="E494" s="1" t="s">
        <v>1720</v>
      </c>
      <c r="F494" s="1" t="s">
        <v>1721</v>
      </c>
      <c r="G494" s="1">
        <v>110</v>
      </c>
      <c r="H494" s="1">
        <v>19</v>
      </c>
      <c r="I494" s="1">
        <v>2020</v>
      </c>
      <c r="K494" s="1" t="s">
        <v>1722</v>
      </c>
      <c r="O494" s="1" t="s">
        <v>1723</v>
      </c>
    </row>
    <row r="495" spans="1:16" ht="15.75" customHeight="1">
      <c r="A495" s="1" t="s">
        <v>0</v>
      </c>
      <c r="B495" s="1" t="s">
        <v>6852</v>
      </c>
      <c r="C495" s="1" t="s">
        <v>6853</v>
      </c>
      <c r="D495" s="1" t="s">
        <v>264</v>
      </c>
      <c r="E495" s="1" t="s">
        <v>6854</v>
      </c>
      <c r="F495" s="1" t="s">
        <v>6855</v>
      </c>
      <c r="G495" s="1">
        <v>41</v>
      </c>
      <c r="H495" s="1">
        <v>19</v>
      </c>
      <c r="I495" s="1">
        <v>2020</v>
      </c>
      <c r="J495" s="1">
        <v>46</v>
      </c>
      <c r="K495" s="1">
        <v>10</v>
      </c>
      <c r="L495" s="1">
        <v>2008</v>
      </c>
      <c r="M495" s="1">
        <v>2026</v>
      </c>
      <c r="N495" s="1" t="s">
        <v>6</v>
      </c>
      <c r="O495" s="1" t="s">
        <v>6856</v>
      </c>
      <c r="P495" s="3" t="str">
        <f>HYPERLINK("http://dx.doi.org/10.1080/1369183X.2018.1559996","http://dx.doi.org/10.1080/1369183X.2018.1559996")</f>
        <v>http://dx.doi.org/10.1080/1369183X.2018.1559996</v>
      </c>
    </row>
    <row r="496" spans="1:16" ht="15.75" customHeight="1">
      <c r="A496" s="1" t="s">
        <v>10</v>
      </c>
      <c r="B496" s="1" t="s">
        <v>4106</v>
      </c>
      <c r="C496" s="1" t="s">
        <v>4107</v>
      </c>
      <c r="D496" s="1" t="s">
        <v>4108</v>
      </c>
      <c r="E496" s="1" t="s">
        <v>4109</v>
      </c>
      <c r="F496" s="1" t="s">
        <v>4110</v>
      </c>
      <c r="H496" s="1">
        <v>18</v>
      </c>
      <c r="I496" s="1">
        <v>2020</v>
      </c>
      <c r="J496" s="1">
        <v>81</v>
      </c>
      <c r="O496" s="1" t="s">
        <v>4111</v>
      </c>
    </row>
    <row r="497" spans="1:16" ht="15.75" customHeight="1">
      <c r="A497" s="1" t="s">
        <v>0</v>
      </c>
      <c r="B497" s="1" t="s">
        <v>5378</v>
      </c>
      <c r="C497" s="1" t="s">
        <v>5379</v>
      </c>
      <c r="D497" s="1" t="s">
        <v>264</v>
      </c>
      <c r="E497" s="1" t="s">
        <v>5380</v>
      </c>
      <c r="F497" s="1" t="s">
        <v>5381</v>
      </c>
      <c r="G497" s="1">
        <v>41</v>
      </c>
      <c r="H497" s="1">
        <v>18</v>
      </c>
      <c r="I497" s="1">
        <v>2020</v>
      </c>
      <c r="J497" s="1">
        <v>46</v>
      </c>
      <c r="K497" s="1">
        <v>13</v>
      </c>
      <c r="L497" s="1">
        <v>2764</v>
      </c>
      <c r="M497" s="1">
        <v>2781</v>
      </c>
      <c r="N497" s="1" t="s">
        <v>6</v>
      </c>
      <c r="O497" s="1" t="s">
        <v>5382</v>
      </c>
      <c r="P497" s="3" t="str">
        <f>HYPERLINK("http://dx.doi.org/10.1080/1369183X.2018.1497953","http://dx.doi.org/10.1080/1369183X.2018.1497953")</f>
        <v>http://dx.doi.org/10.1080/1369183X.2018.1497953</v>
      </c>
    </row>
    <row r="498" spans="1:16" ht="15.75" customHeight="1">
      <c r="A498" s="1" t="s">
        <v>0</v>
      </c>
      <c r="B498" s="1" t="s">
        <v>2398</v>
      </c>
      <c r="C498" s="1" t="s">
        <v>2399</v>
      </c>
      <c r="D498" s="1" t="s">
        <v>2400</v>
      </c>
      <c r="E498" s="1" t="s">
        <v>2401</v>
      </c>
      <c r="F498" s="1" t="s">
        <v>2402</v>
      </c>
      <c r="G498" s="1">
        <v>51</v>
      </c>
      <c r="H498" s="1">
        <v>17</v>
      </c>
      <c r="I498" s="1">
        <v>2020</v>
      </c>
      <c r="J498" s="1">
        <v>59</v>
      </c>
      <c r="K498" s="1">
        <v>3</v>
      </c>
      <c r="L498" s="1">
        <v>102</v>
      </c>
      <c r="M498" s="1">
        <v>120</v>
      </c>
      <c r="N498" s="1" t="s">
        <v>6</v>
      </c>
      <c r="O498" s="1" t="s">
        <v>2403</v>
      </c>
      <c r="P498" s="3" t="str">
        <f>HYPERLINK("http://dx.doi.org/10.30827/cuadgeo.v59i3.9294","http://dx.doi.org/10.30827/cuadgeo.v59i3.9294")</f>
        <v>http://dx.doi.org/10.30827/cuadgeo.v59i3.9294</v>
      </c>
    </row>
    <row r="499" spans="1:16" ht="15.75" customHeight="1">
      <c r="A499" s="1" t="s">
        <v>10</v>
      </c>
      <c r="B499" s="1" t="s">
        <v>3860</v>
      </c>
      <c r="C499" s="1" t="s">
        <v>3861</v>
      </c>
      <c r="D499" s="1" t="s">
        <v>473</v>
      </c>
      <c r="E499" s="1" t="s">
        <v>3862</v>
      </c>
      <c r="F499" s="1" t="s">
        <v>3863</v>
      </c>
      <c r="H499" s="1">
        <v>16</v>
      </c>
      <c r="I499" s="1">
        <v>2020</v>
      </c>
      <c r="J499" s="1">
        <v>46</v>
      </c>
      <c r="K499" s="1">
        <v>138</v>
      </c>
      <c r="O499" s="1" t="s">
        <v>3864</v>
      </c>
    </row>
    <row r="500" spans="1:16" ht="15.75" customHeight="1">
      <c r="A500" s="1" t="s">
        <v>0</v>
      </c>
      <c r="B500" s="1" t="s">
        <v>3074</v>
      </c>
      <c r="C500" s="1" t="s">
        <v>3075</v>
      </c>
      <c r="D500" s="1" t="s">
        <v>3076</v>
      </c>
      <c r="E500" s="1" t="s">
        <v>3077</v>
      </c>
      <c r="F500" s="1" t="s">
        <v>3078</v>
      </c>
      <c r="G500" s="1">
        <v>55</v>
      </c>
      <c r="H500" s="1">
        <v>16</v>
      </c>
      <c r="I500" s="1">
        <v>2020</v>
      </c>
      <c r="J500" s="1">
        <v>22</v>
      </c>
      <c r="K500" s="1">
        <v>10</v>
      </c>
      <c r="L500" s="1">
        <v>1145</v>
      </c>
      <c r="M500" s="1">
        <v>1160</v>
      </c>
      <c r="N500" s="1" t="s">
        <v>6</v>
      </c>
      <c r="O500" s="1" t="s">
        <v>3079</v>
      </c>
      <c r="P500" s="3" t="str">
        <f>HYPERLINK("http://dx.doi.org/10.1080/13691058.2019.1662088","http://dx.doi.org/10.1080/13691058.2019.1662088")</f>
        <v>http://dx.doi.org/10.1080/13691058.2019.1662088</v>
      </c>
    </row>
    <row r="501" spans="1:16" ht="15.75" customHeight="1">
      <c r="A501" s="1" t="s">
        <v>0</v>
      </c>
      <c r="B501" s="1" t="s">
        <v>4367</v>
      </c>
      <c r="C501" s="1" t="s">
        <v>4368</v>
      </c>
      <c r="D501" s="2" t="s">
        <v>4369</v>
      </c>
      <c r="E501" s="1" t="s">
        <v>4370</v>
      </c>
      <c r="F501" s="1" t="s">
        <v>4371</v>
      </c>
      <c r="G501" s="1">
        <v>27</v>
      </c>
      <c r="H501" s="1">
        <v>15</v>
      </c>
      <c r="I501" s="1">
        <v>2020</v>
      </c>
      <c r="K501" s="1" t="s">
        <v>2558</v>
      </c>
    </row>
    <row r="502" spans="1:16" ht="15.75" customHeight="1">
      <c r="A502" s="1" t="s">
        <v>10</v>
      </c>
      <c r="B502" s="1" t="s">
        <v>3236</v>
      </c>
      <c r="C502" s="1" t="s">
        <v>3237</v>
      </c>
      <c r="D502" s="1" t="s">
        <v>3238</v>
      </c>
      <c r="E502" s="1" t="s">
        <v>3239</v>
      </c>
      <c r="F502" s="1" t="s">
        <v>3240</v>
      </c>
      <c r="H502" s="1">
        <v>14</v>
      </c>
      <c r="I502" s="1">
        <v>2020</v>
      </c>
      <c r="J502" s="1">
        <v>85</v>
      </c>
      <c r="K502" s="1">
        <v>2</v>
      </c>
      <c r="O502" s="1" t="s">
        <v>3241</v>
      </c>
    </row>
    <row r="503" spans="1:16" ht="15.75" customHeight="1">
      <c r="A503" s="1" t="s">
        <v>0</v>
      </c>
      <c r="B503" s="1" t="s">
        <v>4703</v>
      </c>
      <c r="C503" s="1" t="s">
        <v>4704</v>
      </c>
      <c r="D503" s="1" t="s">
        <v>2258</v>
      </c>
      <c r="E503" s="1" t="s">
        <v>4705</v>
      </c>
      <c r="F503" s="1" t="s">
        <v>4706</v>
      </c>
      <c r="G503" s="1">
        <v>30</v>
      </c>
      <c r="H503" s="1">
        <v>14</v>
      </c>
      <c r="I503" s="1">
        <v>2020</v>
      </c>
      <c r="K503" s="1" t="s">
        <v>4707</v>
      </c>
      <c r="O503" s="1" t="s">
        <v>4708</v>
      </c>
    </row>
    <row r="504" spans="1:16" ht="15.75" customHeight="1">
      <c r="A504" s="1" t="s">
        <v>0</v>
      </c>
      <c r="B504" s="1" t="s">
        <v>4253</v>
      </c>
      <c r="C504" s="1" t="s">
        <v>4254</v>
      </c>
      <c r="D504" s="1" t="s">
        <v>4255</v>
      </c>
      <c r="E504" s="1" t="s">
        <v>4256</v>
      </c>
      <c r="F504" s="1" t="s">
        <v>4257</v>
      </c>
      <c r="G504" s="1">
        <v>51</v>
      </c>
      <c r="H504" s="1">
        <v>13</v>
      </c>
      <c r="I504" s="1">
        <v>2020</v>
      </c>
      <c r="J504" s="1">
        <v>23</v>
      </c>
      <c r="K504" s="1" t="s">
        <v>378</v>
      </c>
      <c r="O504" s="1" t="s">
        <v>4258</v>
      </c>
    </row>
    <row r="505" spans="1:16" ht="15.75" customHeight="1">
      <c r="A505" s="1" t="s">
        <v>10</v>
      </c>
      <c r="B505" s="1" t="s">
        <v>7048</v>
      </c>
      <c r="C505" s="1" t="s">
        <v>7049</v>
      </c>
      <c r="D505" s="1" t="s">
        <v>94</v>
      </c>
      <c r="E505" s="1" t="s">
        <v>7050</v>
      </c>
      <c r="F505" s="1" t="s">
        <v>7051</v>
      </c>
      <c r="H505" s="1">
        <v>13</v>
      </c>
      <c r="I505" s="1">
        <v>2020</v>
      </c>
      <c r="J505" s="1">
        <v>18</v>
      </c>
      <c r="K505" s="1">
        <v>2</v>
      </c>
      <c r="O505" s="1" t="s">
        <v>7052</v>
      </c>
    </row>
    <row r="506" spans="1:16" ht="15.75" customHeight="1">
      <c r="A506" s="1" t="s">
        <v>10</v>
      </c>
      <c r="B506" s="1" t="s">
        <v>6927</v>
      </c>
      <c r="C506" s="1" t="s">
        <v>6928</v>
      </c>
      <c r="D506" s="2" t="s">
        <v>6929</v>
      </c>
      <c r="E506" s="1" t="s">
        <v>6930</v>
      </c>
      <c r="F506" s="1" t="s">
        <v>6931</v>
      </c>
      <c r="H506" s="1">
        <v>12</v>
      </c>
      <c r="I506" s="1">
        <v>2020</v>
      </c>
      <c r="J506" s="1">
        <v>27</v>
      </c>
      <c r="K506" s="1">
        <v>1</v>
      </c>
      <c r="O506" s="1" t="s">
        <v>6932</v>
      </c>
    </row>
    <row r="507" spans="1:16" ht="15.75" customHeight="1">
      <c r="A507" s="1" t="s">
        <v>10</v>
      </c>
      <c r="B507" s="1" t="s">
        <v>4275</v>
      </c>
      <c r="C507" s="1" t="s">
        <v>4276</v>
      </c>
      <c r="D507" s="1" t="s">
        <v>4277</v>
      </c>
      <c r="E507" s="1" t="s">
        <v>4278</v>
      </c>
      <c r="F507" s="1" t="s">
        <v>4279</v>
      </c>
      <c r="H507" s="1">
        <v>12</v>
      </c>
      <c r="I507" s="1">
        <v>2020</v>
      </c>
      <c r="J507" s="1">
        <v>15</v>
      </c>
      <c r="K507" s="1">
        <v>1</v>
      </c>
      <c r="O507" s="1" t="s">
        <v>4280</v>
      </c>
    </row>
    <row r="508" spans="1:16" ht="15.75" customHeight="1">
      <c r="A508" s="1" t="s">
        <v>0</v>
      </c>
      <c r="B508" s="1" t="s">
        <v>5485</v>
      </c>
      <c r="C508" s="1" t="s">
        <v>5486</v>
      </c>
      <c r="D508" s="1" t="s">
        <v>201</v>
      </c>
      <c r="E508" s="1" t="s">
        <v>5487</v>
      </c>
      <c r="F508" s="1" t="s">
        <v>5488</v>
      </c>
      <c r="G508" s="1">
        <v>86</v>
      </c>
      <c r="H508" s="1">
        <v>12</v>
      </c>
      <c r="I508" s="1">
        <v>2020</v>
      </c>
      <c r="J508" s="1" t="s">
        <v>6</v>
      </c>
      <c r="K508" s="1">
        <v>64</v>
      </c>
      <c r="L508" s="1">
        <v>337</v>
      </c>
      <c r="M508" s="1">
        <v>359</v>
      </c>
      <c r="N508" s="1" t="s">
        <v>6</v>
      </c>
      <c r="O508" s="1" t="s">
        <v>5489</v>
      </c>
      <c r="P508" s="3" t="str">
        <f>HYPERLINK("http://dx.doi.org/10.22199/issn.0718-1043-2020-0016","http://dx.doi.org/10.22199/issn.0718-1043-2020-0016")</f>
        <v>http://dx.doi.org/10.22199/issn.0718-1043-2020-0016</v>
      </c>
    </row>
    <row r="509" spans="1:16" ht="15.75" customHeight="1">
      <c r="A509" s="1" t="s">
        <v>10</v>
      </c>
      <c r="B509" s="1" t="s">
        <v>2949</v>
      </c>
      <c r="C509" s="1" t="s">
        <v>2950</v>
      </c>
      <c r="D509" s="1" t="s">
        <v>2797</v>
      </c>
      <c r="E509" s="1" t="s">
        <v>2951</v>
      </c>
      <c r="F509" s="1" t="s">
        <v>2952</v>
      </c>
      <c r="H509" s="1">
        <v>12</v>
      </c>
      <c r="I509" s="1">
        <v>2020</v>
      </c>
      <c r="J509" s="1">
        <v>26</v>
      </c>
      <c r="K509" s="1">
        <v>8</v>
      </c>
      <c r="O509" s="1" t="s">
        <v>2953</v>
      </c>
    </row>
    <row r="510" spans="1:16" ht="15.75" customHeight="1">
      <c r="A510" s="1" t="s">
        <v>0</v>
      </c>
      <c r="B510" s="1" t="s">
        <v>1606</v>
      </c>
      <c r="C510" s="1" t="s">
        <v>1607</v>
      </c>
      <c r="D510" s="1" t="s">
        <v>382</v>
      </c>
      <c r="E510" s="1" t="s">
        <v>1608</v>
      </c>
      <c r="F510" s="1" t="s">
        <v>1609</v>
      </c>
      <c r="G510" s="1">
        <v>78</v>
      </c>
      <c r="H510" s="1">
        <v>12</v>
      </c>
      <c r="I510" s="1">
        <v>2020</v>
      </c>
      <c r="J510" s="1">
        <v>14</v>
      </c>
      <c r="K510" s="1" t="s">
        <v>378</v>
      </c>
    </row>
    <row r="511" spans="1:16" ht="15.75" customHeight="1">
      <c r="A511" s="1" t="s">
        <v>10</v>
      </c>
      <c r="B511" s="1" t="s">
        <v>6938</v>
      </c>
      <c r="C511" s="1" t="s">
        <v>6939</v>
      </c>
      <c r="D511" s="1" t="s">
        <v>6940</v>
      </c>
      <c r="E511" s="1" t="s">
        <v>6941</v>
      </c>
      <c r="F511" s="1" t="s">
        <v>6942</v>
      </c>
      <c r="H511" s="1">
        <v>11</v>
      </c>
      <c r="I511" s="1">
        <v>2020</v>
      </c>
      <c r="J511" s="1">
        <v>61</v>
      </c>
      <c r="O511" s="1" t="s">
        <v>6943</v>
      </c>
    </row>
    <row r="512" spans="1:16" ht="15.75" customHeight="1">
      <c r="A512" s="1" t="s">
        <v>10</v>
      </c>
      <c r="B512" s="1" t="s">
        <v>6074</v>
      </c>
      <c r="C512" s="1" t="s">
        <v>6075</v>
      </c>
      <c r="D512" s="1" t="s">
        <v>4810</v>
      </c>
      <c r="E512" s="1" t="s">
        <v>6076</v>
      </c>
      <c r="F512" s="1" t="s">
        <v>6077</v>
      </c>
      <c r="H512" s="1">
        <v>11</v>
      </c>
      <c r="I512" s="1">
        <v>2020</v>
      </c>
      <c r="J512" s="1">
        <v>30</v>
      </c>
      <c r="K512" s="1">
        <v>5</v>
      </c>
      <c r="O512" s="1" t="s">
        <v>6078</v>
      </c>
    </row>
    <row r="513" spans="1:16" ht="15.75" customHeight="1">
      <c r="A513" s="1" t="s">
        <v>0</v>
      </c>
      <c r="B513" s="1" t="s">
        <v>3207</v>
      </c>
      <c r="C513" s="1" t="s">
        <v>3208</v>
      </c>
      <c r="D513" s="1" t="s">
        <v>3209</v>
      </c>
      <c r="E513" s="1" t="s">
        <v>3210</v>
      </c>
      <c r="F513" s="1" t="s">
        <v>3211</v>
      </c>
      <c r="G513" s="1">
        <v>48</v>
      </c>
      <c r="H513" s="1">
        <v>11</v>
      </c>
      <c r="I513" s="1">
        <v>2020</v>
      </c>
      <c r="J513" s="1">
        <v>8</v>
      </c>
      <c r="K513" s="1">
        <v>3</v>
      </c>
      <c r="L513" s="1" t="s">
        <v>6</v>
      </c>
      <c r="M513" s="1" t="s">
        <v>6</v>
      </c>
      <c r="N513" s="1">
        <v>299</v>
      </c>
      <c r="O513" s="1" t="s">
        <v>3212</v>
      </c>
      <c r="P513" s="3" t="str">
        <f>HYPERLINK("http://dx.doi.org/10.3390/healthcare8030299","http://dx.doi.org/10.3390/healthcare8030299")</f>
        <v>http://dx.doi.org/10.3390/healthcare8030299</v>
      </c>
    </row>
    <row r="514" spans="1:16" ht="15.75" customHeight="1">
      <c r="A514" s="1" t="s">
        <v>0</v>
      </c>
      <c r="B514" s="1" t="s">
        <v>134</v>
      </c>
      <c r="C514" s="1" t="s">
        <v>135</v>
      </c>
      <c r="D514" s="1" t="s">
        <v>136</v>
      </c>
      <c r="E514" s="1" t="s">
        <v>137</v>
      </c>
      <c r="F514" s="1" t="s">
        <v>138</v>
      </c>
      <c r="G514" s="1">
        <v>63</v>
      </c>
      <c r="H514" s="1">
        <v>11</v>
      </c>
      <c r="I514" s="1">
        <v>2020</v>
      </c>
      <c r="J514" s="1">
        <v>21</v>
      </c>
      <c r="K514" s="1">
        <v>1</v>
      </c>
      <c r="L514" s="1">
        <v>53</v>
      </c>
      <c r="M514" s="1">
        <v>74</v>
      </c>
      <c r="N514" s="1" t="s">
        <v>6</v>
      </c>
      <c r="O514" s="1" t="s">
        <v>139</v>
      </c>
      <c r="P514" s="3" t="str">
        <f>HYPERLINK("http://dx.doi.org/10.1007/s10902-019-00081-2","http://dx.doi.org/10.1007/s10902-019-00081-2")</f>
        <v>http://dx.doi.org/10.1007/s10902-019-00081-2</v>
      </c>
    </row>
    <row r="515" spans="1:16" ht="15.75" customHeight="1">
      <c r="A515" s="1" t="s">
        <v>10</v>
      </c>
      <c r="B515" s="1" t="s">
        <v>158</v>
      </c>
      <c r="C515" s="1" t="s">
        <v>159</v>
      </c>
      <c r="D515" s="1" t="s">
        <v>160</v>
      </c>
      <c r="E515" s="1" t="s">
        <v>161</v>
      </c>
      <c r="F515" s="1" t="s">
        <v>162</v>
      </c>
      <c r="H515" s="1">
        <v>10</v>
      </c>
      <c r="I515" s="1">
        <v>2020</v>
      </c>
      <c r="J515" s="1">
        <v>26</v>
      </c>
      <c r="K515" s="1">
        <v>1</v>
      </c>
      <c r="O515" s="1" t="s">
        <v>163</v>
      </c>
    </row>
    <row r="516" spans="1:16" ht="15.75" customHeight="1">
      <c r="A516" s="1" t="s">
        <v>0</v>
      </c>
      <c r="B516" s="1" t="s">
        <v>2476</v>
      </c>
      <c r="C516" s="1" t="s">
        <v>2477</v>
      </c>
      <c r="D516" s="1" t="s">
        <v>201</v>
      </c>
      <c r="E516" s="1" t="s">
        <v>2478</v>
      </c>
      <c r="F516" s="1" t="s">
        <v>2479</v>
      </c>
      <c r="G516" s="1">
        <v>38</v>
      </c>
      <c r="H516" s="1">
        <v>10</v>
      </c>
      <c r="I516" s="1">
        <v>2020</v>
      </c>
      <c r="J516" s="1" t="s">
        <v>6</v>
      </c>
      <c r="K516" s="1">
        <v>65</v>
      </c>
      <c r="L516" s="1">
        <v>339</v>
      </c>
      <c r="M516" s="1">
        <v>362</v>
      </c>
      <c r="N516" s="1" t="s">
        <v>6</v>
      </c>
      <c r="O516" s="1" t="s">
        <v>2480</v>
      </c>
      <c r="P516" s="3" t="str">
        <f>HYPERLINK("http://dx.doi.org/10.22199/issn.0718-1043-2020-0037","http://dx.doi.org/10.22199/issn.0718-1043-2020-0037")</f>
        <v>http://dx.doi.org/10.22199/issn.0718-1043-2020-0037</v>
      </c>
    </row>
    <row r="517" spans="1:16" ht="15.75" customHeight="1">
      <c r="A517" s="1" t="s">
        <v>10</v>
      </c>
      <c r="B517" s="1" t="s">
        <v>4545</v>
      </c>
      <c r="C517" s="1" t="s">
        <v>4546</v>
      </c>
      <c r="D517" s="1" t="s">
        <v>556</v>
      </c>
      <c r="E517" s="1" t="s">
        <v>4547</v>
      </c>
      <c r="F517" s="1" t="s">
        <v>4548</v>
      </c>
      <c r="H517" s="1">
        <v>10</v>
      </c>
      <c r="I517" s="1">
        <v>2020</v>
      </c>
      <c r="J517" s="1">
        <v>15</v>
      </c>
      <c r="K517" s="1">
        <v>2</v>
      </c>
      <c r="O517" s="1" t="s">
        <v>4549</v>
      </c>
    </row>
    <row r="518" spans="1:16" ht="15.75" customHeight="1">
      <c r="A518" s="1" t="s">
        <v>0</v>
      </c>
      <c r="B518" s="1" t="s">
        <v>5100</v>
      </c>
      <c r="C518" s="1" t="s">
        <v>5101</v>
      </c>
      <c r="D518" s="1" t="s">
        <v>1119</v>
      </c>
      <c r="E518" s="1" t="s">
        <v>5102</v>
      </c>
      <c r="F518" s="1" t="s">
        <v>5103</v>
      </c>
      <c r="G518" s="1">
        <v>40</v>
      </c>
      <c r="H518" s="1">
        <v>10</v>
      </c>
      <c r="I518" s="1">
        <v>2020</v>
      </c>
      <c r="J518" s="1">
        <v>65</v>
      </c>
      <c r="K518" s="1">
        <v>2</v>
      </c>
      <c r="L518" s="1">
        <v>459</v>
      </c>
      <c r="M518" s="1">
        <v>489</v>
      </c>
      <c r="N518" s="1" t="s">
        <v>6</v>
      </c>
      <c r="O518" s="1" t="s">
        <v>5104</v>
      </c>
      <c r="P518" s="3" t="str">
        <f>HYPERLINK("http://dx.doi.org/10.1007/s00168-020-00991-7","http://dx.doi.org/10.1007/s00168-020-00991-7")</f>
        <v>http://dx.doi.org/10.1007/s00168-020-00991-7</v>
      </c>
    </row>
    <row r="519" spans="1:16" ht="15.75" customHeight="1">
      <c r="A519" s="1" t="s">
        <v>10</v>
      </c>
      <c r="B519" s="1" t="s">
        <v>6427</v>
      </c>
      <c r="C519" s="1" t="s">
        <v>6428</v>
      </c>
      <c r="D519" s="1" t="s">
        <v>6429</v>
      </c>
      <c r="E519" s="1" t="s">
        <v>6430</v>
      </c>
      <c r="F519" s="1" t="s">
        <v>6431</v>
      </c>
      <c r="H519" s="1">
        <v>9</v>
      </c>
      <c r="I519" s="1">
        <v>2020</v>
      </c>
      <c r="J519" s="1">
        <v>66</v>
      </c>
      <c r="K519" s="1">
        <v>1</v>
      </c>
      <c r="O519" s="1" t="s">
        <v>6432</v>
      </c>
    </row>
    <row r="520" spans="1:16" ht="15.75" customHeight="1">
      <c r="A520" s="1" t="s">
        <v>10</v>
      </c>
      <c r="B520" s="1" t="s">
        <v>5639</v>
      </c>
      <c r="C520" s="1" t="s">
        <v>5640</v>
      </c>
      <c r="D520" s="1" t="s">
        <v>2900</v>
      </c>
      <c r="E520" s="1" t="s">
        <v>5641</v>
      </c>
      <c r="F520" s="1" t="s">
        <v>5642</v>
      </c>
      <c r="H520" s="1">
        <v>9</v>
      </c>
      <c r="I520" s="1">
        <v>2020</v>
      </c>
      <c r="J520" s="1">
        <v>203</v>
      </c>
      <c r="O520" s="1" t="s">
        <v>5643</v>
      </c>
    </row>
    <row r="521" spans="1:16" ht="15.75" customHeight="1">
      <c r="A521" s="1" t="s">
        <v>0</v>
      </c>
      <c r="B521" s="1" t="s">
        <v>4466</v>
      </c>
      <c r="C521" s="1" t="s">
        <v>4467</v>
      </c>
      <c r="D521" s="1" t="s">
        <v>4468</v>
      </c>
      <c r="E521" s="1" t="s">
        <v>4469</v>
      </c>
      <c r="F521" s="1" t="s">
        <v>4470</v>
      </c>
      <c r="G521" s="1">
        <v>46</v>
      </c>
      <c r="H521" s="1">
        <v>9</v>
      </c>
      <c r="I521" s="1">
        <v>2020</v>
      </c>
      <c r="J521" s="1">
        <v>29</v>
      </c>
      <c r="K521" s="1">
        <v>3</v>
      </c>
      <c r="L521" s="1">
        <v>293</v>
      </c>
      <c r="M521" s="1">
        <v>318</v>
      </c>
      <c r="N521" s="1" t="s">
        <v>6</v>
      </c>
      <c r="O521" s="1" t="s">
        <v>4471</v>
      </c>
      <c r="P521" s="3" t="str">
        <f>HYPERLINK("http://dx.doi.org/10.1080/09620214.2020.1771748","http://dx.doi.org/10.1080/09620214.2020.1771748")</f>
        <v>http://dx.doi.org/10.1080/09620214.2020.1771748</v>
      </c>
    </row>
    <row r="522" spans="1:16" ht="15.75" customHeight="1">
      <c r="A522" s="1" t="s">
        <v>10</v>
      </c>
      <c r="B522" s="1" t="s">
        <v>871</v>
      </c>
      <c r="C522" s="1" t="s">
        <v>872</v>
      </c>
      <c r="D522" s="1" t="s">
        <v>873</v>
      </c>
      <c r="E522" s="1" t="s">
        <v>874</v>
      </c>
      <c r="F522" s="1" t="s">
        <v>875</v>
      </c>
      <c r="H522" s="1">
        <v>8</v>
      </c>
      <c r="I522" s="1">
        <v>2020</v>
      </c>
      <c r="J522" s="1">
        <v>17</v>
      </c>
      <c r="K522" s="1">
        <v>4</v>
      </c>
      <c r="O522" s="1" t="s">
        <v>876</v>
      </c>
    </row>
    <row r="523" spans="1:16" ht="15.75" customHeight="1">
      <c r="A523" s="1" t="s">
        <v>10</v>
      </c>
      <c r="B523" s="1" t="s">
        <v>25</v>
      </c>
      <c r="C523" s="1" t="s">
        <v>26</v>
      </c>
      <c r="D523" s="1" t="s">
        <v>27</v>
      </c>
      <c r="E523" s="1" t="s">
        <v>28</v>
      </c>
      <c r="F523" s="1" t="s">
        <v>29</v>
      </c>
      <c r="H523" s="1">
        <v>8</v>
      </c>
      <c r="I523" s="1">
        <v>2020</v>
      </c>
      <c r="J523" s="1">
        <v>12</v>
      </c>
      <c r="K523" s="1">
        <v>23</v>
      </c>
      <c r="O523" s="1" t="s">
        <v>30</v>
      </c>
    </row>
    <row r="524" spans="1:16" ht="15.75" customHeight="1">
      <c r="A524" s="1" t="s">
        <v>0</v>
      </c>
      <c r="B524" s="1" t="s">
        <v>2511</v>
      </c>
      <c r="C524" s="1" t="s">
        <v>2512</v>
      </c>
      <c r="D524" s="1" t="s">
        <v>2513</v>
      </c>
      <c r="E524" s="1" t="s">
        <v>2514</v>
      </c>
      <c r="F524" s="1" t="s">
        <v>2515</v>
      </c>
      <c r="G524" s="1">
        <v>35</v>
      </c>
      <c r="H524" s="1">
        <v>8</v>
      </c>
      <c r="I524" s="1">
        <v>2020</v>
      </c>
      <c r="K524" s="1" t="s">
        <v>2516</v>
      </c>
      <c r="O524" s="1" t="s">
        <v>2517</v>
      </c>
    </row>
    <row r="525" spans="1:16" ht="15.75" customHeight="1">
      <c r="A525" s="1" t="s">
        <v>10</v>
      </c>
      <c r="B525" s="1" t="s">
        <v>5558</v>
      </c>
      <c r="C525" s="1" t="s">
        <v>5559</v>
      </c>
      <c r="D525" s="1" t="s">
        <v>3559</v>
      </c>
      <c r="E525" s="1" t="s">
        <v>5560</v>
      </c>
      <c r="F525" s="1" t="s">
        <v>5561</v>
      </c>
      <c r="H525" s="1">
        <v>8</v>
      </c>
      <c r="I525" s="1">
        <v>2020</v>
      </c>
      <c r="J525" s="1">
        <v>40</v>
      </c>
      <c r="K525" s="1">
        <v>2</v>
      </c>
    </row>
    <row r="526" spans="1:16" ht="15.75" customHeight="1">
      <c r="A526" s="1" t="s">
        <v>10</v>
      </c>
      <c r="B526" s="1" t="s">
        <v>3352</v>
      </c>
      <c r="C526" s="1" t="s">
        <v>3353</v>
      </c>
      <c r="D526" s="1" t="s">
        <v>88</v>
      </c>
      <c r="E526" s="1" t="s">
        <v>3354</v>
      </c>
      <c r="F526" s="1" t="s">
        <v>3355</v>
      </c>
      <c r="H526" s="1">
        <v>8</v>
      </c>
      <c r="I526" s="1">
        <v>2020</v>
      </c>
      <c r="J526" s="1">
        <v>130</v>
      </c>
      <c r="O526" s="1" t="s">
        <v>3356</v>
      </c>
    </row>
    <row r="527" spans="1:16" ht="15.75" customHeight="1">
      <c r="A527" s="1" t="s">
        <v>0</v>
      </c>
      <c r="B527" s="1" t="s">
        <v>6633</v>
      </c>
      <c r="C527" s="1" t="s">
        <v>6634</v>
      </c>
      <c r="D527" s="1" t="s">
        <v>1325</v>
      </c>
      <c r="E527" s="1" t="s">
        <v>6635</v>
      </c>
      <c r="F527" s="1" t="s">
        <v>6636</v>
      </c>
      <c r="G527" s="1">
        <v>42</v>
      </c>
      <c r="H527" s="1">
        <v>8</v>
      </c>
      <c r="I527" s="1">
        <v>2020</v>
      </c>
      <c r="J527" s="1">
        <v>21</v>
      </c>
      <c r="K527" s="1">
        <v>1</v>
      </c>
      <c r="L527" s="1">
        <v>295</v>
      </c>
      <c r="M527" s="1">
        <v>306</v>
      </c>
      <c r="N527" s="1" t="s">
        <v>6</v>
      </c>
      <c r="O527" s="1" t="s">
        <v>6637</v>
      </c>
      <c r="P527" s="3" t="str">
        <f>HYPERLINK("http://dx.doi.org/10.1007/s12134-019-00731-7","http://dx.doi.org/10.1007/s12134-019-00731-7")</f>
        <v>http://dx.doi.org/10.1007/s12134-019-00731-7</v>
      </c>
    </row>
    <row r="528" spans="1:16" ht="15.75" customHeight="1">
      <c r="A528" s="1" t="s">
        <v>10</v>
      </c>
      <c r="B528" s="1" t="s">
        <v>5542</v>
      </c>
      <c r="C528" s="1" t="s">
        <v>5543</v>
      </c>
      <c r="D528" s="1" t="s">
        <v>5544</v>
      </c>
      <c r="E528" s="1" t="s">
        <v>5545</v>
      </c>
      <c r="F528" s="1" t="s">
        <v>5546</v>
      </c>
      <c r="H528" s="1">
        <v>7</v>
      </c>
      <c r="I528" s="1">
        <v>2020</v>
      </c>
      <c r="K528" s="1">
        <v>81</v>
      </c>
      <c r="O528" s="1" t="s">
        <v>5547</v>
      </c>
    </row>
    <row r="529" spans="1:16" ht="15.75" customHeight="1">
      <c r="A529" s="1" t="s">
        <v>10</v>
      </c>
      <c r="B529" s="1" t="s">
        <v>3375</v>
      </c>
      <c r="C529" s="1" t="s">
        <v>3376</v>
      </c>
      <c r="D529" s="1" t="s">
        <v>3377</v>
      </c>
      <c r="E529" s="1" t="s">
        <v>3378</v>
      </c>
      <c r="F529" s="1" t="s">
        <v>3379</v>
      </c>
      <c r="H529" s="1">
        <v>7</v>
      </c>
      <c r="I529" s="1">
        <v>2020</v>
      </c>
      <c r="J529" s="1">
        <v>12</v>
      </c>
      <c r="K529" s="1">
        <v>2</v>
      </c>
      <c r="O529" s="1" t="s">
        <v>3380</v>
      </c>
    </row>
    <row r="530" spans="1:16" ht="15.75" customHeight="1">
      <c r="A530" s="1" t="s">
        <v>0</v>
      </c>
      <c r="B530" s="1" t="s">
        <v>1571</v>
      </c>
      <c r="C530" s="1" t="s">
        <v>1572</v>
      </c>
      <c r="D530" s="1" t="s">
        <v>715</v>
      </c>
      <c r="E530" s="1" t="s">
        <v>1573</v>
      </c>
      <c r="F530" s="1" t="s">
        <v>1574</v>
      </c>
      <c r="G530" s="1">
        <v>29</v>
      </c>
      <c r="H530" s="1">
        <v>7</v>
      </c>
      <c r="I530" s="1">
        <v>2020</v>
      </c>
      <c r="J530" s="1">
        <v>37</v>
      </c>
      <c r="K530" s="1" t="s">
        <v>1575</v>
      </c>
      <c r="O530" s="1" t="s">
        <v>1576</v>
      </c>
    </row>
    <row r="531" spans="1:16" ht="15.75" customHeight="1">
      <c r="A531" s="1" t="s">
        <v>10</v>
      </c>
      <c r="B531" s="1" t="s">
        <v>2646</v>
      </c>
      <c r="C531" s="1" t="s">
        <v>2647</v>
      </c>
      <c r="D531" s="1" t="s">
        <v>406</v>
      </c>
      <c r="E531" s="1" t="s">
        <v>2648</v>
      </c>
      <c r="F531" s="1" t="s">
        <v>2649</v>
      </c>
      <c r="H531" s="1">
        <v>6</v>
      </c>
      <c r="I531" s="1">
        <v>2020</v>
      </c>
      <c r="J531" s="1">
        <v>14</v>
      </c>
      <c r="K531" s="1">
        <v>8</v>
      </c>
      <c r="O531" s="1" t="s">
        <v>2650</v>
      </c>
    </row>
    <row r="532" spans="1:16" ht="15.75" customHeight="1">
      <c r="A532" s="1" t="s">
        <v>10</v>
      </c>
      <c r="B532" s="1" t="s">
        <v>5801</v>
      </c>
      <c r="C532" s="1" t="s">
        <v>5802</v>
      </c>
      <c r="D532" s="1" t="s">
        <v>1528</v>
      </c>
      <c r="E532" s="1" t="s">
        <v>5803</v>
      </c>
      <c r="F532" s="1" t="s">
        <v>5804</v>
      </c>
      <c r="H532" s="1">
        <v>6</v>
      </c>
      <c r="I532" s="1">
        <v>2020</v>
      </c>
      <c r="J532" s="1">
        <v>2020</v>
      </c>
      <c r="K532" s="1">
        <v>40</v>
      </c>
      <c r="O532" s="1" t="s">
        <v>5805</v>
      </c>
    </row>
    <row r="533" spans="1:16" ht="15.75" customHeight="1">
      <c r="A533" s="1" t="s">
        <v>10</v>
      </c>
      <c r="B533" s="1" t="s">
        <v>2428</v>
      </c>
      <c r="C533" s="1" t="s">
        <v>2429</v>
      </c>
      <c r="D533" s="1" t="s">
        <v>2430</v>
      </c>
      <c r="E533" s="1" t="s">
        <v>2431</v>
      </c>
      <c r="F533" s="1" t="s">
        <v>2432</v>
      </c>
      <c r="H533" s="1">
        <v>6</v>
      </c>
      <c r="I533" s="1">
        <v>2020</v>
      </c>
      <c r="J533" s="1">
        <v>9</v>
      </c>
      <c r="K533" s="1">
        <v>2</v>
      </c>
      <c r="O533" s="1" t="s">
        <v>2433</v>
      </c>
    </row>
    <row r="534" spans="1:16" ht="15.75" customHeight="1">
      <c r="A534" s="1" t="s">
        <v>0</v>
      </c>
      <c r="B534" s="1" t="s">
        <v>1953</v>
      </c>
      <c r="C534" s="1" t="s">
        <v>1954</v>
      </c>
      <c r="D534" s="1" t="s">
        <v>1955</v>
      </c>
      <c r="E534" s="1" t="s">
        <v>1956</v>
      </c>
      <c r="F534" s="1" t="s">
        <v>1957</v>
      </c>
      <c r="G534" s="1">
        <v>30</v>
      </c>
      <c r="H534" s="1">
        <v>6</v>
      </c>
      <c r="I534" s="1">
        <v>2020</v>
      </c>
      <c r="J534" s="1" t="s">
        <v>6</v>
      </c>
      <c r="K534" s="1">
        <v>28</v>
      </c>
      <c r="L534" s="1">
        <v>97</v>
      </c>
      <c r="M534" s="1">
        <v>117</v>
      </c>
      <c r="N534" s="1" t="s">
        <v>6</v>
      </c>
      <c r="O534" s="1" t="s">
        <v>1958</v>
      </c>
      <c r="P534" s="3" t="str">
        <f>HYPERLINK("http://dx.doi.org/10.21017/Rev.Repub.2020.v28.a78","http://dx.doi.org/10.21017/Rev.Repub.2020.v28.a78")</f>
        <v>http://dx.doi.org/10.21017/Rev.Repub.2020.v28.a78</v>
      </c>
    </row>
    <row r="535" spans="1:16" ht="15.75" customHeight="1">
      <c r="A535" s="1" t="s">
        <v>0</v>
      </c>
      <c r="B535" s="1" t="s">
        <v>5415</v>
      </c>
      <c r="C535" s="1" t="s">
        <v>5416</v>
      </c>
      <c r="D535" s="1" t="s">
        <v>5417</v>
      </c>
      <c r="E535" s="1" t="s">
        <v>5418</v>
      </c>
      <c r="F535" s="1" t="s">
        <v>5419</v>
      </c>
      <c r="G535" s="1">
        <v>67</v>
      </c>
      <c r="H535" s="1">
        <v>6</v>
      </c>
      <c r="I535" s="1">
        <v>2020</v>
      </c>
      <c r="J535" s="1">
        <v>5</v>
      </c>
      <c r="K535" s="1">
        <v>3</v>
      </c>
      <c r="L535" s="1">
        <v>305</v>
      </c>
      <c r="M535" s="1">
        <v>323</v>
      </c>
      <c r="N535" s="1" t="s">
        <v>6</v>
      </c>
      <c r="O535" s="1" t="s">
        <v>5420</v>
      </c>
      <c r="P535" s="3" t="str">
        <f>HYPERLINK("http://dx.doi.org/10.1080/23792949.2019.1680298","http://dx.doi.org/10.1080/23792949.2019.1680298")</f>
        <v>http://dx.doi.org/10.1080/23792949.2019.1680298</v>
      </c>
    </row>
    <row r="536" spans="1:16" ht="15.75" customHeight="1">
      <c r="A536" s="1" t="s">
        <v>0</v>
      </c>
      <c r="B536" s="1" t="s">
        <v>5537</v>
      </c>
      <c r="C536" s="1" t="s">
        <v>5538</v>
      </c>
      <c r="D536" s="1" t="s">
        <v>4410</v>
      </c>
      <c r="E536" s="1" t="s">
        <v>5539</v>
      </c>
      <c r="F536" s="1" t="s">
        <v>5540</v>
      </c>
      <c r="G536" s="1">
        <v>64</v>
      </c>
      <c r="H536" s="1">
        <v>5</v>
      </c>
      <c r="I536" s="1">
        <v>2020</v>
      </c>
      <c r="J536" s="1">
        <v>39</v>
      </c>
      <c r="K536" s="1">
        <v>4</v>
      </c>
      <c r="L536" s="1">
        <v>483</v>
      </c>
      <c r="M536" s="1">
        <v>499</v>
      </c>
      <c r="N536" s="1" t="s">
        <v>6</v>
      </c>
      <c r="O536" s="1" t="s">
        <v>5541</v>
      </c>
      <c r="P536" s="3" t="str">
        <f>HYPERLINK("http://dx.doi.org/10.1111/blar.12989","http://dx.doi.org/10.1111/blar.12989")</f>
        <v>http://dx.doi.org/10.1111/blar.12989</v>
      </c>
    </row>
    <row r="537" spans="1:16" ht="15.75" customHeight="1">
      <c r="A537" s="1" t="s">
        <v>10</v>
      </c>
      <c r="B537" s="1" t="s">
        <v>5657</v>
      </c>
      <c r="C537" s="1" t="s">
        <v>5658</v>
      </c>
      <c r="D537" s="1" t="s">
        <v>5659</v>
      </c>
      <c r="E537" s="1" t="s">
        <v>5660</v>
      </c>
      <c r="F537" s="1" t="s">
        <v>5661</v>
      </c>
      <c r="H537" s="1">
        <v>5</v>
      </c>
      <c r="I537" s="1">
        <v>2020</v>
      </c>
      <c r="J537" s="1">
        <v>25</v>
      </c>
      <c r="K537" s="1">
        <v>1</v>
      </c>
      <c r="O537" s="1" t="s">
        <v>5662</v>
      </c>
    </row>
    <row r="538" spans="1:16" ht="15.75" customHeight="1">
      <c r="A538" s="1" t="s">
        <v>10</v>
      </c>
      <c r="B538" s="1" t="s">
        <v>5441</v>
      </c>
      <c r="C538" s="1" t="s">
        <v>5442</v>
      </c>
      <c r="D538" s="1" t="s">
        <v>3559</v>
      </c>
      <c r="E538" s="1" t="s">
        <v>5443</v>
      </c>
      <c r="F538" s="1" t="s">
        <v>5444</v>
      </c>
      <c r="H538" s="1">
        <v>5</v>
      </c>
      <c r="I538" s="1">
        <v>2020</v>
      </c>
      <c r="J538" s="1">
        <v>40</v>
      </c>
      <c r="K538" s="1">
        <v>2</v>
      </c>
      <c r="O538" s="1" t="s">
        <v>5445</v>
      </c>
    </row>
    <row r="539" spans="1:16" ht="15.75" customHeight="1">
      <c r="A539" s="1" t="s">
        <v>10</v>
      </c>
      <c r="B539" s="1" t="s">
        <v>5436</v>
      </c>
      <c r="C539" s="1" t="s">
        <v>5437</v>
      </c>
      <c r="D539" s="1" t="s">
        <v>2731</v>
      </c>
      <c r="E539" s="1" t="s">
        <v>5438</v>
      </c>
      <c r="F539" s="1" t="s">
        <v>5439</v>
      </c>
      <c r="H539" s="1">
        <v>5</v>
      </c>
      <c r="I539" s="1">
        <v>2020</v>
      </c>
      <c r="J539" s="1">
        <v>2020</v>
      </c>
      <c r="K539" s="1">
        <v>49</v>
      </c>
      <c r="O539" s="1" t="s">
        <v>5440</v>
      </c>
    </row>
    <row r="540" spans="1:16" ht="15.75" customHeight="1">
      <c r="A540" s="1" t="s">
        <v>0</v>
      </c>
      <c r="B540" s="1" t="s">
        <v>5324</v>
      </c>
      <c r="C540" s="1" t="s">
        <v>5325</v>
      </c>
      <c r="D540" s="1" t="s">
        <v>195</v>
      </c>
      <c r="E540" s="1" t="s">
        <v>5326</v>
      </c>
      <c r="F540" s="1" t="s">
        <v>5327</v>
      </c>
      <c r="G540" s="1">
        <v>46</v>
      </c>
      <c r="H540" s="1">
        <v>5</v>
      </c>
      <c r="I540" s="1">
        <v>2020</v>
      </c>
      <c r="J540" s="1">
        <v>52</v>
      </c>
      <c r="K540" s="1">
        <v>2</v>
      </c>
      <c r="L540" s="1">
        <v>347</v>
      </c>
      <c r="M540" s="1">
        <v>360</v>
      </c>
      <c r="N540" s="1" t="s">
        <v>6</v>
      </c>
      <c r="O540" s="1" t="s">
        <v>5328</v>
      </c>
      <c r="P540" s="3" t="str">
        <f>HYPERLINK("http://dx.doi.org/10.4067/S0717-73562020005001004","http://dx.doi.org/10.4067/S0717-73562020005001004")</f>
        <v>http://dx.doi.org/10.4067/S0717-73562020005001004</v>
      </c>
    </row>
    <row r="541" spans="1:16" ht="15.75" customHeight="1">
      <c r="A541" s="1" t="s">
        <v>10</v>
      </c>
      <c r="B541" s="1" t="s">
        <v>1683</v>
      </c>
      <c r="C541" s="1" t="s">
        <v>1684</v>
      </c>
      <c r="D541" s="1" t="s">
        <v>1685</v>
      </c>
      <c r="E541" s="1" t="s">
        <v>1686</v>
      </c>
      <c r="F541" s="1" t="s">
        <v>1687</v>
      </c>
      <c r="H541" s="1">
        <v>5</v>
      </c>
      <c r="I541" s="1">
        <v>2020</v>
      </c>
      <c r="J541" s="1">
        <v>20</v>
      </c>
      <c r="K541" s="1">
        <v>1</v>
      </c>
      <c r="O541" s="1" t="s">
        <v>1688</v>
      </c>
    </row>
    <row r="542" spans="1:16" ht="15.75" customHeight="1">
      <c r="A542" s="1" t="s">
        <v>10</v>
      </c>
      <c r="B542" s="1" t="s">
        <v>5178</v>
      </c>
      <c r="C542" s="1" t="s">
        <v>5179</v>
      </c>
      <c r="D542" s="1" t="s">
        <v>2857</v>
      </c>
      <c r="E542" s="1" t="s">
        <v>5180</v>
      </c>
      <c r="F542" s="1" t="s">
        <v>5181</v>
      </c>
      <c r="H542" s="1">
        <v>4</v>
      </c>
      <c r="I542" s="1">
        <v>2020</v>
      </c>
      <c r="J542" s="1">
        <v>46</v>
      </c>
      <c r="K542" s="1">
        <v>2</v>
      </c>
      <c r="O542" s="1" t="s">
        <v>5182</v>
      </c>
    </row>
    <row r="543" spans="1:16" ht="15.75" customHeight="1">
      <c r="A543" s="1" t="s">
        <v>10</v>
      </c>
      <c r="B543" s="1" t="s">
        <v>594</v>
      </c>
      <c r="C543" s="1" t="s">
        <v>595</v>
      </c>
      <c r="D543" s="1" t="s">
        <v>596</v>
      </c>
      <c r="E543" s="1" t="s">
        <v>597</v>
      </c>
      <c r="F543" s="1" t="s">
        <v>598</v>
      </c>
      <c r="H543" s="1">
        <v>4</v>
      </c>
      <c r="I543" s="1">
        <v>2020</v>
      </c>
      <c r="J543" s="1">
        <v>43</v>
      </c>
      <c r="K543" s="1">
        <v>9</v>
      </c>
      <c r="O543" s="1" t="s">
        <v>599</v>
      </c>
    </row>
    <row r="544" spans="1:16" ht="15.75" customHeight="1">
      <c r="A544" s="1" t="s">
        <v>0</v>
      </c>
      <c r="B544" s="1" t="s">
        <v>6933</v>
      </c>
      <c r="C544" s="1" t="s">
        <v>6934</v>
      </c>
      <c r="D544" s="1" t="s">
        <v>5385</v>
      </c>
      <c r="E544" s="1" t="s">
        <v>6935</v>
      </c>
      <c r="F544" s="1" t="s">
        <v>6936</v>
      </c>
      <c r="G544" s="1">
        <v>54</v>
      </c>
      <c r="H544" s="1">
        <v>4</v>
      </c>
      <c r="I544" s="1">
        <v>2020</v>
      </c>
      <c r="J544" s="1">
        <v>27</v>
      </c>
      <c r="K544" s="1">
        <v>2</v>
      </c>
      <c r="L544" s="1">
        <v>191</v>
      </c>
      <c r="M544" s="1">
        <v>209</v>
      </c>
      <c r="N544" s="1" t="s">
        <v>6</v>
      </c>
      <c r="O544" s="1" t="s">
        <v>6937</v>
      </c>
      <c r="P544" s="3" t="str">
        <f>HYPERLINK("http://dx.doi.org/10.1080/1070289X.2018.1537639","http://dx.doi.org/10.1080/1070289X.2018.1537639")</f>
        <v>http://dx.doi.org/10.1080/1070289X.2018.1537639</v>
      </c>
    </row>
    <row r="545" spans="1:16" ht="15.75" customHeight="1">
      <c r="A545" s="1" t="s">
        <v>10</v>
      </c>
      <c r="B545" s="1" t="s">
        <v>5669</v>
      </c>
      <c r="C545" s="1" t="s">
        <v>5670</v>
      </c>
      <c r="D545" s="1" t="s">
        <v>656</v>
      </c>
      <c r="E545" s="1" t="s">
        <v>5671</v>
      </c>
      <c r="F545" s="1" t="s">
        <v>5672</v>
      </c>
      <c r="H545" s="1">
        <v>4</v>
      </c>
      <c r="I545" s="1">
        <v>2020</v>
      </c>
      <c r="J545" s="1">
        <v>2020</v>
      </c>
      <c r="K545" s="1">
        <v>27</v>
      </c>
      <c r="O545" s="1" t="s">
        <v>5673</v>
      </c>
    </row>
    <row r="546" spans="1:16" ht="15.75" customHeight="1">
      <c r="A546" s="1" t="s">
        <v>10</v>
      </c>
      <c r="B546" s="1" t="s">
        <v>2102</v>
      </c>
      <c r="C546" s="1" t="s">
        <v>2103</v>
      </c>
      <c r="D546" s="1" t="s">
        <v>2104</v>
      </c>
      <c r="E546" s="1" t="s">
        <v>2105</v>
      </c>
      <c r="F546" s="1" t="s">
        <v>2106</v>
      </c>
      <c r="H546" s="1">
        <v>4</v>
      </c>
      <c r="I546" s="1">
        <v>2020</v>
      </c>
      <c r="J546" s="1">
        <v>46</v>
      </c>
      <c r="K546" s="1" t="s">
        <v>1343</v>
      </c>
      <c r="O546" s="1" t="s">
        <v>2107</v>
      </c>
    </row>
    <row r="547" spans="1:16" ht="15.75" customHeight="1">
      <c r="A547" s="1" t="s">
        <v>0</v>
      </c>
      <c r="B547" s="1" t="s">
        <v>2594</v>
      </c>
      <c r="C547" s="1" t="s">
        <v>2595</v>
      </c>
      <c r="D547" s="1" t="s">
        <v>2596</v>
      </c>
      <c r="E547" s="1" t="s">
        <v>2597</v>
      </c>
      <c r="F547" s="1" t="s">
        <v>2598</v>
      </c>
      <c r="G547" s="1">
        <v>82</v>
      </c>
      <c r="H547" s="1">
        <v>4</v>
      </c>
      <c r="I547" s="1">
        <v>2020</v>
      </c>
      <c r="J547" s="1">
        <v>14</v>
      </c>
      <c r="K547" s="1">
        <v>3</v>
      </c>
      <c r="L547" s="1">
        <v>443</v>
      </c>
      <c r="M547" s="1">
        <v>477</v>
      </c>
      <c r="N547" s="1" t="s">
        <v>6</v>
      </c>
      <c r="O547" s="1" t="s">
        <v>2599</v>
      </c>
      <c r="P547" s="3" t="str">
        <f>HYPERLINK("http://dx.doi.org/10.1007/s11698-019-00194-x","http://dx.doi.org/10.1007/s11698-019-00194-x")</f>
        <v>http://dx.doi.org/10.1007/s11698-019-00194-x</v>
      </c>
    </row>
    <row r="548" spans="1:16" ht="15.75" customHeight="1">
      <c r="A548" s="1" t="s">
        <v>0</v>
      </c>
      <c r="B548" s="1" t="s">
        <v>2835</v>
      </c>
      <c r="C548" s="1" t="s">
        <v>2836</v>
      </c>
      <c r="D548" s="1" t="s">
        <v>2837</v>
      </c>
      <c r="E548" s="1" t="s">
        <v>2838</v>
      </c>
      <c r="F548" s="1" t="s">
        <v>2839</v>
      </c>
      <c r="G548" s="1">
        <v>28</v>
      </c>
      <c r="H548" s="1">
        <v>3</v>
      </c>
      <c r="I548" s="1">
        <v>2020</v>
      </c>
      <c r="J548" s="1">
        <v>42</v>
      </c>
      <c r="K548" s="1">
        <v>1</v>
      </c>
      <c r="L548" s="1">
        <v>126</v>
      </c>
      <c r="M548" s="1">
        <v>135</v>
      </c>
      <c r="N548" s="1">
        <v>163443719884060</v>
      </c>
      <c r="O548" s="1" t="s">
        <v>2840</v>
      </c>
      <c r="P548" s="3" t="str">
        <f>HYPERLINK("http://dx.doi.org/10.1177/0163443719884060","http://dx.doi.org/10.1177/0163443719884060")</f>
        <v>http://dx.doi.org/10.1177/0163443719884060</v>
      </c>
    </row>
    <row r="549" spans="1:16" ht="15.75" customHeight="1">
      <c r="A549" s="1" t="s">
        <v>10</v>
      </c>
      <c r="B549" s="1" t="s">
        <v>4786</v>
      </c>
      <c r="C549" s="1" t="s">
        <v>4787</v>
      </c>
      <c r="D549" s="1" t="s">
        <v>171</v>
      </c>
      <c r="E549" s="1" t="s">
        <v>4788</v>
      </c>
      <c r="F549" s="1" t="s">
        <v>4789</v>
      </c>
      <c r="H549" s="1">
        <v>3</v>
      </c>
      <c r="I549" s="1">
        <v>2020</v>
      </c>
      <c r="J549" s="1">
        <v>11</v>
      </c>
      <c r="K549" s="1">
        <v>1</v>
      </c>
      <c r="O549" s="1" t="s">
        <v>4790</v>
      </c>
    </row>
    <row r="550" spans="1:16" ht="15.75" customHeight="1">
      <c r="A550" s="1" t="s">
        <v>10</v>
      </c>
      <c r="B550" s="1" t="s">
        <v>3441</v>
      </c>
      <c r="C550" s="1" t="s">
        <v>3442</v>
      </c>
      <c r="D550" s="2" t="s">
        <v>418</v>
      </c>
      <c r="E550" s="1" t="s">
        <v>3443</v>
      </c>
      <c r="F550" s="1" t="s">
        <v>3444</v>
      </c>
      <c r="H550" s="1">
        <v>3</v>
      </c>
      <c r="I550" s="1">
        <v>2020</v>
      </c>
      <c r="J550" s="1">
        <v>11</v>
      </c>
      <c r="O550" s="1" t="s">
        <v>3445</v>
      </c>
    </row>
    <row r="551" spans="1:16" ht="15.75" customHeight="1">
      <c r="A551" s="1" t="s">
        <v>0</v>
      </c>
      <c r="B551" s="1" t="s">
        <v>2287</v>
      </c>
      <c r="C551" s="1" t="s">
        <v>2288</v>
      </c>
      <c r="D551" s="1" t="s">
        <v>206</v>
      </c>
      <c r="E551" s="1" t="s">
        <v>2289</v>
      </c>
      <c r="F551" s="1" t="s">
        <v>2290</v>
      </c>
      <c r="G551" s="1">
        <v>66</v>
      </c>
      <c r="H551" s="1">
        <v>3</v>
      </c>
      <c r="I551" s="1">
        <v>2020</v>
      </c>
      <c r="J551" s="1" t="s">
        <v>6</v>
      </c>
      <c r="K551" s="1">
        <v>72</v>
      </c>
      <c r="L551" s="1">
        <v>18</v>
      </c>
      <c r="M551" s="1">
        <v>32</v>
      </c>
      <c r="N551" s="1" t="s">
        <v>6</v>
      </c>
      <c r="O551" s="1" t="s">
        <v>2291</v>
      </c>
      <c r="P551" s="3" t="str">
        <f>HYPERLINK("http://dx.doi.org/10.7440/res72.2020.02","http://dx.doi.org/10.7440/res72.2020.02")</f>
        <v>http://dx.doi.org/10.7440/res72.2020.02</v>
      </c>
    </row>
    <row r="552" spans="1:16" ht="15.75" customHeight="1">
      <c r="A552" s="1" t="s">
        <v>10</v>
      </c>
      <c r="B552" s="1" t="s">
        <v>4791</v>
      </c>
      <c r="C552" s="1" t="s">
        <v>4792</v>
      </c>
      <c r="D552" s="1" t="s">
        <v>4793</v>
      </c>
      <c r="E552" s="1" t="s">
        <v>4794</v>
      </c>
      <c r="F552" s="1" t="s">
        <v>4795</v>
      </c>
      <c r="H552" s="1">
        <v>3</v>
      </c>
      <c r="I552" s="1">
        <v>2020</v>
      </c>
      <c r="J552" s="1">
        <v>61</v>
      </c>
      <c r="K552" s="1">
        <v>2</v>
      </c>
      <c r="O552" s="1" t="s">
        <v>4796</v>
      </c>
    </row>
    <row r="553" spans="1:16" ht="15.75" customHeight="1">
      <c r="A553" s="1" t="s">
        <v>0</v>
      </c>
      <c r="B553" s="1" t="s">
        <v>5969</v>
      </c>
      <c r="C553" s="1" t="s">
        <v>5970</v>
      </c>
      <c r="D553" s="1" t="s">
        <v>52</v>
      </c>
      <c r="E553" s="1" t="s">
        <v>5971</v>
      </c>
      <c r="F553" s="1" t="s">
        <v>5972</v>
      </c>
      <c r="G553" s="1">
        <v>45</v>
      </c>
      <c r="H553" s="1">
        <v>3</v>
      </c>
      <c r="I553" s="1">
        <v>2020</v>
      </c>
      <c r="J553" s="1">
        <v>19</v>
      </c>
      <c r="K553" s="1" t="s">
        <v>5973</v>
      </c>
      <c r="O553" s="1" t="s">
        <v>5974</v>
      </c>
    </row>
    <row r="554" spans="1:16" ht="15.75" customHeight="1">
      <c r="A554" s="1" t="s">
        <v>0</v>
      </c>
      <c r="B554" s="1" t="s">
        <v>2564</v>
      </c>
      <c r="C554" s="1" t="s">
        <v>2565</v>
      </c>
      <c r="D554" s="1" t="s">
        <v>1864</v>
      </c>
      <c r="E554" s="1" t="s">
        <v>2566</v>
      </c>
      <c r="F554" s="1" t="s">
        <v>2567</v>
      </c>
      <c r="G554" s="1">
        <v>77</v>
      </c>
      <c r="H554" s="1">
        <v>3</v>
      </c>
      <c r="I554" s="1">
        <v>2020</v>
      </c>
      <c r="J554" s="1">
        <v>27</v>
      </c>
      <c r="K554" s="1" t="s">
        <v>61</v>
      </c>
      <c r="O554" s="1" t="s">
        <v>2568</v>
      </c>
    </row>
    <row r="555" spans="1:16" ht="15.75" customHeight="1">
      <c r="A555" s="1" t="s">
        <v>10</v>
      </c>
      <c r="B555" s="1" t="s">
        <v>5957</v>
      </c>
      <c r="C555" s="1" t="s">
        <v>5958</v>
      </c>
      <c r="D555" s="1" t="s">
        <v>5959</v>
      </c>
      <c r="E555" s="1" t="s">
        <v>5960</v>
      </c>
      <c r="F555" s="1" t="s">
        <v>5961</v>
      </c>
      <c r="H555" s="1">
        <v>3</v>
      </c>
      <c r="I555" s="1">
        <v>2020</v>
      </c>
      <c r="J555" s="1">
        <v>61</v>
      </c>
      <c r="K555" s="1">
        <v>2</v>
      </c>
      <c r="O555" s="1" t="s">
        <v>5962</v>
      </c>
    </row>
    <row r="556" spans="1:16" ht="15.75" customHeight="1">
      <c r="A556" s="1" t="s">
        <v>10</v>
      </c>
      <c r="B556" s="1" t="s">
        <v>5883</v>
      </c>
      <c r="C556" s="1" t="s">
        <v>5884</v>
      </c>
      <c r="D556" s="1" t="s">
        <v>4343</v>
      </c>
      <c r="E556" s="1" t="s">
        <v>5885</v>
      </c>
      <c r="F556" s="1" t="s">
        <v>5886</v>
      </c>
      <c r="H556" s="1">
        <v>3</v>
      </c>
      <c r="I556" s="1">
        <v>2020</v>
      </c>
      <c r="J556" s="1">
        <v>43</v>
      </c>
    </row>
    <row r="557" spans="1:16" ht="15.75" customHeight="1">
      <c r="A557" s="1" t="s">
        <v>10</v>
      </c>
      <c r="B557" s="1" t="s">
        <v>4054</v>
      </c>
      <c r="C557" s="1" t="s">
        <v>4055</v>
      </c>
      <c r="D557" s="1" t="s">
        <v>2503</v>
      </c>
      <c r="E557" s="1" t="s">
        <v>4056</v>
      </c>
      <c r="F557" s="1" t="s">
        <v>4057</v>
      </c>
      <c r="H557" s="1">
        <v>2</v>
      </c>
      <c r="I557" s="1">
        <v>2020</v>
      </c>
      <c r="J557" s="1">
        <v>25</v>
      </c>
      <c r="K557" s="1">
        <v>3</v>
      </c>
      <c r="O557" s="1" t="s">
        <v>4058</v>
      </c>
    </row>
    <row r="558" spans="1:16" ht="15.75" customHeight="1">
      <c r="A558" s="1" t="s">
        <v>10</v>
      </c>
      <c r="B558" s="1" t="s">
        <v>5663</v>
      </c>
      <c r="C558" s="1" t="s">
        <v>5664</v>
      </c>
      <c r="D558" s="1" t="s">
        <v>5665</v>
      </c>
      <c r="E558" s="1" t="s">
        <v>5666</v>
      </c>
      <c r="F558" s="1" t="s">
        <v>5667</v>
      </c>
      <c r="H558" s="1">
        <v>2</v>
      </c>
      <c r="I558" s="1">
        <v>2020</v>
      </c>
      <c r="J558" s="1">
        <v>4</v>
      </c>
      <c r="K558" s="1">
        <v>1</v>
      </c>
      <c r="O558" s="1" t="s">
        <v>5668</v>
      </c>
    </row>
    <row r="559" spans="1:16" ht="15.75" customHeight="1">
      <c r="A559" s="1" t="s">
        <v>10</v>
      </c>
      <c r="B559" s="1" t="s">
        <v>3915</v>
      </c>
      <c r="C559" s="1" t="s">
        <v>3916</v>
      </c>
      <c r="D559" s="1" t="s">
        <v>3917</v>
      </c>
      <c r="E559" s="1" t="s">
        <v>3918</v>
      </c>
      <c r="F559" s="1" t="s">
        <v>3919</v>
      </c>
      <c r="H559" s="1">
        <v>2</v>
      </c>
      <c r="I559" s="1">
        <v>2020</v>
      </c>
      <c r="K559" s="1">
        <v>64</v>
      </c>
      <c r="O559" s="1" t="s">
        <v>3920</v>
      </c>
    </row>
    <row r="560" spans="1:16" ht="15.75" customHeight="1">
      <c r="A560" s="1" t="s">
        <v>10</v>
      </c>
      <c r="B560" s="1" t="s">
        <v>3170</v>
      </c>
      <c r="C560" s="1" t="s">
        <v>3171</v>
      </c>
      <c r="D560" s="1" t="s">
        <v>1522</v>
      </c>
      <c r="E560" s="1" t="s">
        <v>3172</v>
      </c>
      <c r="F560" s="1" t="s">
        <v>3173</v>
      </c>
      <c r="H560" s="1">
        <v>2</v>
      </c>
      <c r="I560" s="1">
        <v>2020</v>
      </c>
      <c r="K560" s="1">
        <v>63</v>
      </c>
      <c r="O560" s="1" t="s">
        <v>3174</v>
      </c>
    </row>
    <row r="561" spans="1:16" ht="15.75" customHeight="1">
      <c r="A561" s="1" t="s">
        <v>10</v>
      </c>
      <c r="B561" s="1" t="s">
        <v>245</v>
      </c>
      <c r="C561" s="1" t="s">
        <v>246</v>
      </c>
      <c r="D561" s="1" t="s">
        <v>247</v>
      </c>
      <c r="E561" s="1" t="s">
        <v>248</v>
      </c>
      <c r="F561" s="1" t="s">
        <v>249</v>
      </c>
      <c r="H561" s="1">
        <v>2</v>
      </c>
      <c r="I561" s="1">
        <v>2020</v>
      </c>
      <c r="J561" s="1">
        <v>19</v>
      </c>
      <c r="K561" s="1">
        <v>1</v>
      </c>
      <c r="O561" s="1" t="s">
        <v>250</v>
      </c>
    </row>
    <row r="562" spans="1:16" ht="15.75" customHeight="1">
      <c r="A562" s="1" t="s">
        <v>10</v>
      </c>
      <c r="B562" s="1" t="s">
        <v>4523</v>
      </c>
      <c r="C562" s="1" t="s">
        <v>4524</v>
      </c>
      <c r="D562" s="1" t="s">
        <v>1880</v>
      </c>
      <c r="E562" s="1" t="s">
        <v>4525</v>
      </c>
      <c r="F562" s="1" t="s">
        <v>4526</v>
      </c>
      <c r="H562" s="1">
        <v>2</v>
      </c>
      <c r="I562" s="1">
        <v>2020</v>
      </c>
      <c r="J562" s="1">
        <v>28</v>
      </c>
      <c r="O562" s="1" t="s">
        <v>4527</v>
      </c>
    </row>
    <row r="563" spans="1:16" ht="15.75" customHeight="1">
      <c r="A563" s="1" t="s">
        <v>0</v>
      </c>
      <c r="B563" s="1" t="s">
        <v>2030</v>
      </c>
      <c r="C563" s="1" t="s">
        <v>2031</v>
      </c>
      <c r="D563" s="1" t="s">
        <v>1224</v>
      </c>
      <c r="E563" s="1" t="s">
        <v>2032</v>
      </c>
      <c r="F563" s="1" t="s">
        <v>2033</v>
      </c>
      <c r="G563" s="1">
        <v>33</v>
      </c>
      <c r="H563" s="1">
        <v>2</v>
      </c>
      <c r="I563" s="1">
        <v>2020</v>
      </c>
      <c r="J563" s="1">
        <v>93</v>
      </c>
      <c r="K563" s="1" t="s">
        <v>378</v>
      </c>
      <c r="O563" s="1" t="s">
        <v>2034</v>
      </c>
    </row>
    <row r="564" spans="1:16" ht="15.75" customHeight="1">
      <c r="A564" s="1" t="s">
        <v>0</v>
      </c>
      <c r="B564" s="1" t="s">
        <v>2656</v>
      </c>
      <c r="C564" s="1" t="s">
        <v>2657</v>
      </c>
      <c r="D564" s="1" t="s">
        <v>2658</v>
      </c>
      <c r="E564" s="1" t="s">
        <v>2659</v>
      </c>
      <c r="F564" s="1" t="s">
        <v>2660</v>
      </c>
      <c r="G564" s="1">
        <v>22</v>
      </c>
      <c r="H564" s="1">
        <v>2</v>
      </c>
      <c r="I564" s="1">
        <v>2020</v>
      </c>
      <c r="J564" s="1">
        <v>23</v>
      </c>
      <c r="K564" s="1" t="s">
        <v>1575</v>
      </c>
      <c r="O564" s="1" t="s">
        <v>2661</v>
      </c>
    </row>
    <row r="565" spans="1:16" ht="15.75" customHeight="1">
      <c r="A565" s="1" t="s">
        <v>0</v>
      </c>
      <c r="B565" s="1" t="s">
        <v>3452</v>
      </c>
      <c r="C565" s="1" t="s">
        <v>3453</v>
      </c>
      <c r="D565" s="1" t="s">
        <v>52</v>
      </c>
      <c r="E565" s="1" t="s">
        <v>3454</v>
      </c>
      <c r="F565" s="1" t="s">
        <v>3455</v>
      </c>
      <c r="G565" s="1">
        <v>39</v>
      </c>
      <c r="H565" s="1">
        <v>2</v>
      </c>
      <c r="I565" s="1">
        <v>2020</v>
      </c>
      <c r="J565" s="1">
        <v>19</v>
      </c>
      <c r="K565" s="1" t="s">
        <v>1854</v>
      </c>
      <c r="O565" s="1" t="s">
        <v>3456</v>
      </c>
    </row>
    <row r="566" spans="1:16" ht="15.75" customHeight="1">
      <c r="A566" s="1" t="s">
        <v>10</v>
      </c>
      <c r="B566" s="1" t="s">
        <v>4424</v>
      </c>
      <c r="C566" s="1" t="s">
        <v>4425</v>
      </c>
      <c r="D566" s="1" t="s">
        <v>721</v>
      </c>
      <c r="E566" s="1" t="s">
        <v>4426</v>
      </c>
      <c r="F566" s="1" t="s">
        <v>4427</v>
      </c>
      <c r="H566" s="1">
        <v>2</v>
      </c>
      <c r="I566" s="1">
        <v>2020</v>
      </c>
      <c r="J566" s="1">
        <v>28</v>
      </c>
      <c r="K566" s="1">
        <v>60</v>
      </c>
      <c r="O566" s="1" t="s">
        <v>4428</v>
      </c>
    </row>
    <row r="567" spans="1:16" ht="15.75" customHeight="1">
      <c r="A567" s="1" t="s">
        <v>0</v>
      </c>
      <c r="B567" s="1" t="s">
        <v>4248</v>
      </c>
      <c r="C567" s="1" t="s">
        <v>4249</v>
      </c>
      <c r="D567" s="1" t="s">
        <v>1146</v>
      </c>
      <c r="E567" s="1" t="s">
        <v>4250</v>
      </c>
      <c r="F567" s="1" t="s">
        <v>4251</v>
      </c>
      <c r="G567" s="1">
        <v>117</v>
      </c>
      <c r="H567" s="1">
        <v>2</v>
      </c>
      <c r="I567" s="1">
        <v>2020</v>
      </c>
      <c r="J567" s="1">
        <v>11</v>
      </c>
      <c r="K567" s="1" t="s">
        <v>6</v>
      </c>
      <c r="L567" s="1" t="s">
        <v>6</v>
      </c>
      <c r="M567" s="1" t="s">
        <v>6</v>
      </c>
      <c r="N567" s="1">
        <v>613585</v>
      </c>
      <c r="O567" s="1" t="s">
        <v>4252</v>
      </c>
      <c r="P567" s="3" t="str">
        <f>HYPERLINK("http://dx.doi.org/10.3389/fpsyg.2020.613585","http://dx.doi.org/10.3389/fpsyg.2020.613585")</f>
        <v>http://dx.doi.org/10.3389/fpsyg.2020.613585</v>
      </c>
    </row>
    <row r="568" spans="1:16" ht="15.75" customHeight="1">
      <c r="A568" s="1" t="s">
        <v>0</v>
      </c>
      <c r="B568" s="1" t="s">
        <v>2212</v>
      </c>
      <c r="C568" s="1" t="s">
        <v>2213</v>
      </c>
      <c r="D568" s="1" t="s">
        <v>2214</v>
      </c>
      <c r="E568" s="1" t="s">
        <v>2215</v>
      </c>
      <c r="F568" s="1" t="s">
        <v>2217</v>
      </c>
      <c r="G568" s="1">
        <v>41</v>
      </c>
      <c r="H568" s="1">
        <v>2</v>
      </c>
      <c r="I568" s="1">
        <v>2020</v>
      </c>
      <c r="J568" s="1">
        <v>41</v>
      </c>
      <c r="K568" s="1">
        <v>4</v>
      </c>
      <c r="L568" s="1">
        <v>405</v>
      </c>
      <c r="M568" s="1">
        <v>423</v>
      </c>
      <c r="N568" s="1" t="s">
        <v>6</v>
      </c>
      <c r="O568" s="1" t="s">
        <v>2218</v>
      </c>
      <c r="P568" s="3" t="str">
        <f>HYPERLINK("http://dx.doi.org/10.1080/07256868.2020.1779201","http://dx.doi.org/10.1080/07256868.2020.1779201")</f>
        <v>http://dx.doi.org/10.1080/07256868.2020.1779201</v>
      </c>
    </row>
    <row r="569" spans="1:16" ht="15.75" customHeight="1">
      <c r="A569" s="1" t="s">
        <v>0</v>
      </c>
      <c r="B569" s="1" t="s">
        <v>4069</v>
      </c>
      <c r="C569" s="1" t="s">
        <v>4075</v>
      </c>
      <c r="D569" s="1" t="s">
        <v>4076</v>
      </c>
      <c r="E569" s="1" t="s">
        <v>4077</v>
      </c>
      <c r="F569" s="1" t="s">
        <v>4078</v>
      </c>
      <c r="G569" s="1">
        <v>44</v>
      </c>
      <c r="H569" s="1">
        <v>2</v>
      </c>
      <c r="I569" s="1">
        <v>2020</v>
      </c>
      <c r="J569" s="1">
        <v>18</v>
      </c>
      <c r="K569" s="1">
        <v>5</v>
      </c>
      <c r="L569" s="1">
        <v>553</v>
      </c>
      <c r="M569" s="1">
        <v>563</v>
      </c>
      <c r="N569" s="1" t="s">
        <v>6</v>
      </c>
      <c r="O569" s="1" t="s">
        <v>4079</v>
      </c>
      <c r="P569" s="3" t="str">
        <f>HYPERLINK("http://dx.doi.org/10.1080/14767724.2020.1793115","http://dx.doi.org/10.1080/14767724.2020.1793115")</f>
        <v>http://dx.doi.org/10.1080/14767724.2020.1793115</v>
      </c>
    </row>
    <row r="570" spans="1:16" ht="15.75" customHeight="1">
      <c r="A570" s="1" t="s">
        <v>0</v>
      </c>
      <c r="B570" s="1" t="s">
        <v>1849</v>
      </c>
      <c r="C570" s="1" t="s">
        <v>1850</v>
      </c>
      <c r="D570" s="2" t="s">
        <v>1851</v>
      </c>
      <c r="E570" s="1" t="s">
        <v>1852</v>
      </c>
      <c r="F570" s="1" t="s">
        <v>1853</v>
      </c>
      <c r="G570" s="1">
        <v>45</v>
      </c>
      <c r="H570" s="1">
        <v>2</v>
      </c>
      <c r="I570" s="1">
        <v>2020</v>
      </c>
      <c r="J570" s="1">
        <v>22</v>
      </c>
      <c r="K570" s="1" t="s">
        <v>1854</v>
      </c>
      <c r="O570" s="1" t="s">
        <v>1855</v>
      </c>
    </row>
    <row r="571" spans="1:16" ht="15.75" customHeight="1">
      <c r="A571" s="1" t="s">
        <v>0</v>
      </c>
      <c r="B571" s="1" t="s">
        <v>1397</v>
      </c>
      <c r="C571" s="1" t="s">
        <v>1398</v>
      </c>
      <c r="D571" s="1" t="s">
        <v>1399</v>
      </c>
      <c r="E571" s="1" t="s">
        <v>1400</v>
      </c>
      <c r="F571" s="1" t="s">
        <v>1401</v>
      </c>
      <c r="G571" s="1">
        <v>34</v>
      </c>
      <c r="H571" s="1">
        <v>2</v>
      </c>
      <c r="I571" s="1">
        <v>2020</v>
      </c>
      <c r="J571" s="1">
        <v>64</v>
      </c>
      <c r="K571" s="1">
        <v>3</v>
      </c>
      <c r="L571" s="1">
        <v>305</v>
      </c>
      <c r="M571" s="1">
        <v>333</v>
      </c>
      <c r="N571" s="1" t="s">
        <v>6</v>
      </c>
      <c r="O571" s="1" t="s">
        <v>6</v>
      </c>
      <c r="P571" s="1" t="s">
        <v>6</v>
      </c>
    </row>
    <row r="572" spans="1:16" ht="15.75" customHeight="1">
      <c r="A572" s="1" t="s">
        <v>0</v>
      </c>
      <c r="B572" s="1" t="s">
        <v>2108</v>
      </c>
      <c r="C572" s="1" t="s">
        <v>2109</v>
      </c>
      <c r="D572" s="1" t="s">
        <v>2110</v>
      </c>
      <c r="E572" s="1" t="s">
        <v>2111</v>
      </c>
      <c r="F572" s="1" t="s">
        <v>2112</v>
      </c>
      <c r="G572" s="1">
        <v>74</v>
      </c>
      <c r="H572" s="1">
        <v>2</v>
      </c>
      <c r="I572" s="1">
        <v>2020</v>
      </c>
      <c r="J572" s="1">
        <v>31</v>
      </c>
      <c r="K572" s="1">
        <v>2</v>
      </c>
      <c r="L572" s="1">
        <v>767</v>
      </c>
      <c r="M572" s="1">
        <v>790</v>
      </c>
      <c r="N572" s="1" t="s">
        <v>6</v>
      </c>
      <c r="O572" s="1" t="s">
        <v>2113</v>
      </c>
      <c r="P572" s="3" t="str">
        <f>HYPERLINK("http://dx.doi.org/10.1353/hpu.2020.0060","http://dx.doi.org/10.1353/hpu.2020.0060")</f>
        <v>http://dx.doi.org/10.1353/hpu.2020.0060</v>
      </c>
    </row>
    <row r="573" spans="1:16" ht="15.75" customHeight="1">
      <c r="A573" s="1" t="s">
        <v>0</v>
      </c>
      <c r="B573" s="1" t="s">
        <v>4063</v>
      </c>
      <c r="C573" s="1" t="s">
        <v>4064</v>
      </c>
      <c r="D573" s="1" t="s">
        <v>4065</v>
      </c>
      <c r="E573" s="1" t="s">
        <v>4066</v>
      </c>
      <c r="F573" s="1" t="s">
        <v>4067</v>
      </c>
      <c r="G573" s="1">
        <v>45</v>
      </c>
      <c r="H573" s="1">
        <v>1</v>
      </c>
      <c r="I573" s="1">
        <v>2020</v>
      </c>
      <c r="J573" s="1">
        <v>29</v>
      </c>
      <c r="K573" s="1" t="s">
        <v>61</v>
      </c>
      <c r="O573" s="1" t="s">
        <v>4068</v>
      </c>
    </row>
    <row r="574" spans="1:16" ht="15.75" customHeight="1">
      <c r="A574" s="1" t="s">
        <v>0</v>
      </c>
      <c r="B574" s="1" t="s">
        <v>2554</v>
      </c>
      <c r="C574" s="1" t="s">
        <v>2555</v>
      </c>
      <c r="D574" s="1" t="s">
        <v>2339</v>
      </c>
      <c r="E574" s="1" t="s">
        <v>2556</v>
      </c>
      <c r="F574" s="1" t="s">
        <v>2557</v>
      </c>
      <c r="G574" s="1">
        <v>18</v>
      </c>
      <c r="H574" s="1">
        <v>1</v>
      </c>
      <c r="I574" s="1">
        <v>2020</v>
      </c>
      <c r="K574" s="1" t="s">
        <v>2558</v>
      </c>
    </row>
    <row r="575" spans="1:16" ht="15.75" customHeight="1">
      <c r="A575" s="1" t="s">
        <v>463</v>
      </c>
      <c r="B575" s="1" t="s">
        <v>4765</v>
      </c>
      <c r="C575" s="1" t="s">
        <v>4766</v>
      </c>
      <c r="D575" s="1" t="s">
        <v>4767</v>
      </c>
      <c r="E575" s="1" t="s">
        <v>4768</v>
      </c>
      <c r="F575" s="1" t="s">
        <v>4769</v>
      </c>
      <c r="H575" s="1">
        <v>1</v>
      </c>
      <c r="I575" s="1">
        <v>2020</v>
      </c>
      <c r="O575" s="1" t="s">
        <v>4770</v>
      </c>
    </row>
    <row r="576" spans="1:16" ht="15.75" customHeight="1">
      <c r="A576" s="1" t="s">
        <v>10</v>
      </c>
      <c r="B576" s="1" t="s">
        <v>5772</v>
      </c>
      <c r="C576" s="1" t="s">
        <v>5773</v>
      </c>
      <c r="D576" s="1" t="s">
        <v>1522</v>
      </c>
      <c r="E576" s="1" t="s">
        <v>5774</v>
      </c>
      <c r="F576" s="1" t="s">
        <v>5775</v>
      </c>
      <c r="H576" s="1">
        <v>1</v>
      </c>
      <c r="I576" s="1">
        <v>2020</v>
      </c>
      <c r="K576" s="1">
        <v>62</v>
      </c>
      <c r="O576" s="1" t="s">
        <v>5776</v>
      </c>
    </row>
    <row r="577" spans="1:16" ht="15.75" customHeight="1">
      <c r="A577" s="1" t="s">
        <v>463</v>
      </c>
      <c r="B577" s="1" t="s">
        <v>6462</v>
      </c>
      <c r="C577" s="1" t="s">
        <v>6463</v>
      </c>
      <c r="D577" s="1" t="s">
        <v>6464</v>
      </c>
      <c r="E577" s="1" t="s">
        <v>6465</v>
      </c>
      <c r="F577" s="1" t="s">
        <v>6466</v>
      </c>
      <c r="H577" s="1">
        <v>1</v>
      </c>
      <c r="I577" s="1">
        <v>2020</v>
      </c>
      <c r="O577" s="1" t="s">
        <v>6467</v>
      </c>
    </row>
    <row r="578" spans="1:16" ht="15.75" customHeight="1">
      <c r="A578" s="1" t="s">
        <v>10</v>
      </c>
      <c r="B578" s="1" t="s">
        <v>1200</v>
      </c>
      <c r="C578" s="1" t="s">
        <v>1201</v>
      </c>
      <c r="D578" s="1" t="s">
        <v>1202</v>
      </c>
      <c r="E578" s="1" t="s">
        <v>1203</v>
      </c>
      <c r="F578" s="1" t="s">
        <v>1204</v>
      </c>
      <c r="H578" s="1">
        <v>1</v>
      </c>
      <c r="I578" s="1">
        <v>2020</v>
      </c>
      <c r="J578" s="1">
        <v>23</v>
      </c>
      <c r="K578" s="1">
        <v>4</v>
      </c>
      <c r="O578" s="1" t="s">
        <v>1205</v>
      </c>
    </row>
    <row r="579" spans="1:16" ht="15.75" customHeight="1">
      <c r="A579" s="1" t="s">
        <v>10</v>
      </c>
      <c r="B579" s="1" t="s">
        <v>3694</v>
      </c>
      <c r="C579" s="1" t="s">
        <v>3695</v>
      </c>
      <c r="D579" s="1" t="s">
        <v>3696</v>
      </c>
      <c r="E579" s="1" t="s">
        <v>3697</v>
      </c>
      <c r="F579" s="1" t="s">
        <v>3698</v>
      </c>
      <c r="H579" s="1">
        <v>1</v>
      </c>
      <c r="I579" s="1">
        <v>2020</v>
      </c>
      <c r="J579" s="1">
        <v>7</v>
      </c>
      <c r="K579" s="1">
        <v>1</v>
      </c>
      <c r="O579" s="1" t="s">
        <v>3699</v>
      </c>
    </row>
    <row r="580" spans="1:16" ht="15.75" customHeight="1">
      <c r="A580" s="1" t="s">
        <v>10</v>
      </c>
      <c r="B580" s="1" t="s">
        <v>5047</v>
      </c>
      <c r="C580" s="1" t="s">
        <v>5048</v>
      </c>
      <c r="D580" s="1" t="s">
        <v>5049</v>
      </c>
      <c r="E580" s="1" t="s">
        <v>5050</v>
      </c>
      <c r="F580" s="1" t="s">
        <v>5051</v>
      </c>
      <c r="H580" s="1">
        <v>1</v>
      </c>
      <c r="I580" s="1">
        <v>2020</v>
      </c>
      <c r="K580" s="1">
        <v>16</v>
      </c>
      <c r="O580" s="1" t="s">
        <v>5052</v>
      </c>
    </row>
    <row r="581" spans="1:16" ht="15.75" customHeight="1">
      <c r="A581" s="1" t="s">
        <v>10</v>
      </c>
      <c r="B581" s="1" t="s">
        <v>5999</v>
      </c>
      <c r="C581" s="1" t="s">
        <v>6000</v>
      </c>
      <c r="D581" s="1" t="s">
        <v>3899</v>
      </c>
      <c r="E581" s="1" t="s">
        <v>6001</v>
      </c>
      <c r="F581" s="1" t="s">
        <v>6002</v>
      </c>
      <c r="H581" s="1">
        <v>1</v>
      </c>
      <c r="I581" s="1">
        <v>2020</v>
      </c>
      <c r="J581" s="1">
        <v>11</v>
      </c>
      <c r="O581" s="1" t="s">
        <v>6003</v>
      </c>
    </row>
    <row r="582" spans="1:16" ht="15.75" customHeight="1">
      <c r="A582" s="1" t="s">
        <v>10</v>
      </c>
      <c r="B582" s="1" t="s">
        <v>4012</v>
      </c>
      <c r="C582" s="1" t="s">
        <v>4013</v>
      </c>
      <c r="D582" s="1" t="s">
        <v>4014</v>
      </c>
      <c r="E582" s="1" t="s">
        <v>4015</v>
      </c>
      <c r="F582" s="1" t="s">
        <v>4016</v>
      </c>
      <c r="H582" s="1">
        <v>1</v>
      </c>
      <c r="I582" s="1">
        <v>2020</v>
      </c>
      <c r="J582" s="1">
        <v>43</v>
      </c>
      <c r="K582" s="1">
        <v>1</v>
      </c>
      <c r="O582" s="1" t="s">
        <v>4017</v>
      </c>
    </row>
    <row r="583" spans="1:16" ht="15.75" customHeight="1">
      <c r="A583" s="1" t="s">
        <v>0</v>
      </c>
      <c r="B583" s="1" t="s">
        <v>1183</v>
      </c>
      <c r="C583" s="1" t="s">
        <v>1184</v>
      </c>
      <c r="D583" s="1" t="s">
        <v>1185</v>
      </c>
      <c r="E583" s="1" t="s">
        <v>1186</v>
      </c>
      <c r="F583" s="1" t="s">
        <v>1187</v>
      </c>
      <c r="G583" s="1">
        <v>41</v>
      </c>
      <c r="H583" s="1">
        <v>1</v>
      </c>
      <c r="I583" s="1">
        <v>2020</v>
      </c>
      <c r="J583" s="1">
        <v>42</v>
      </c>
      <c r="K583" s="1" t="s">
        <v>6</v>
      </c>
      <c r="L583" s="1">
        <v>52</v>
      </c>
      <c r="M583" s="1">
        <v>71</v>
      </c>
      <c r="N583" s="1" t="s">
        <v>6</v>
      </c>
      <c r="O583" s="1" t="s">
        <v>1188</v>
      </c>
      <c r="P583" s="3" t="str">
        <f>HYPERLINK("http://dx.doi.org/10.5354/0717-5051.2020.54281","http://dx.doi.org/10.5354/0717-5051.2020.54281")</f>
        <v>http://dx.doi.org/10.5354/0717-5051.2020.54281</v>
      </c>
    </row>
    <row r="584" spans="1:16" ht="15.75" customHeight="1">
      <c r="A584" s="1" t="s">
        <v>0</v>
      </c>
      <c r="B584" s="1" t="s">
        <v>6160</v>
      </c>
      <c r="C584" s="1" t="s">
        <v>6161</v>
      </c>
      <c r="D584" s="1" t="s">
        <v>58</v>
      </c>
      <c r="E584" s="1" t="s">
        <v>6162</v>
      </c>
      <c r="F584" s="1" t="s">
        <v>6163</v>
      </c>
      <c r="G584" s="1">
        <v>42</v>
      </c>
      <c r="H584" s="1">
        <v>1</v>
      </c>
      <c r="I584" s="1">
        <v>2020</v>
      </c>
      <c r="J584" s="1">
        <v>20</v>
      </c>
      <c r="K584" s="1">
        <v>1</v>
      </c>
      <c r="L584" s="1">
        <v>176</v>
      </c>
      <c r="M584" s="1">
        <v>201</v>
      </c>
      <c r="N584" s="1" t="s">
        <v>6</v>
      </c>
      <c r="O584" s="1" t="s">
        <v>6164</v>
      </c>
      <c r="P584" s="3" t="str">
        <f>HYPERLINK("http://dx.doi.org/10.4067/S0719-09482020000100176","http://dx.doi.org/10.4067/S0719-09482020000100176")</f>
        <v>http://dx.doi.org/10.4067/S0719-09482020000100176</v>
      </c>
    </row>
    <row r="585" spans="1:16" ht="15.75" customHeight="1">
      <c r="A585" s="1" t="s">
        <v>0</v>
      </c>
      <c r="B585" s="1" t="s">
        <v>3782</v>
      </c>
      <c r="C585" s="1" t="s">
        <v>3783</v>
      </c>
      <c r="D585" s="1" t="s">
        <v>2910</v>
      </c>
      <c r="E585" s="1" t="s">
        <v>3784</v>
      </c>
      <c r="F585" s="1" t="s">
        <v>3785</v>
      </c>
      <c r="G585" s="1">
        <v>50</v>
      </c>
      <c r="H585" s="1">
        <v>1</v>
      </c>
      <c r="I585" s="1">
        <v>2020</v>
      </c>
      <c r="J585" s="1">
        <v>21</v>
      </c>
      <c r="K585" s="1" t="s">
        <v>6</v>
      </c>
      <c r="L585" s="1" t="s">
        <v>6</v>
      </c>
      <c r="M585" s="1" t="s">
        <v>6</v>
      </c>
      <c r="N585" s="1" t="s">
        <v>3786</v>
      </c>
      <c r="O585" s="1" t="s">
        <v>3787</v>
      </c>
      <c r="P585" s="3" t="str">
        <f>HYPERLINK("http://dx.doi.org/10.21670/ref.2003045","http://dx.doi.org/10.21670/ref.2003045")</f>
        <v>http://dx.doi.org/10.21670/ref.2003045</v>
      </c>
    </row>
    <row r="586" spans="1:16" ht="15.75" customHeight="1">
      <c r="A586" s="1" t="s">
        <v>0</v>
      </c>
      <c r="B586" s="1" t="s">
        <v>351</v>
      </c>
      <c r="C586" s="1" t="s">
        <v>352</v>
      </c>
      <c r="D586" s="1" t="s">
        <v>353</v>
      </c>
      <c r="E586" s="1" t="s">
        <v>354</v>
      </c>
      <c r="F586" s="1" t="s">
        <v>355</v>
      </c>
      <c r="G586" s="1">
        <v>69</v>
      </c>
      <c r="H586" s="1">
        <v>1</v>
      </c>
      <c r="I586" s="1">
        <v>2020</v>
      </c>
      <c r="J586" s="1">
        <v>77</v>
      </c>
      <c r="K586" s="1">
        <v>169</v>
      </c>
      <c r="L586" s="1">
        <v>323</v>
      </c>
      <c r="M586" s="1">
        <v>348</v>
      </c>
      <c r="N586" s="1" t="s">
        <v>6</v>
      </c>
      <c r="O586" s="1" t="s">
        <v>356</v>
      </c>
      <c r="P586" s="3" t="str">
        <f>HYPERLINK("http://dx.doi.org/10.17533/udea.esde.v77n169a13","http://dx.doi.org/10.17533/udea.esde.v77n169a13")</f>
        <v>http://dx.doi.org/10.17533/udea.esde.v77n169a13</v>
      </c>
    </row>
    <row r="587" spans="1:16" ht="15.75" customHeight="1">
      <c r="A587" s="1" t="s">
        <v>0</v>
      </c>
      <c r="B587" s="1" t="s">
        <v>5153</v>
      </c>
      <c r="C587" s="1" t="s">
        <v>5154</v>
      </c>
      <c r="D587" s="1" t="s">
        <v>3839</v>
      </c>
      <c r="E587" s="1" t="s">
        <v>5155</v>
      </c>
      <c r="F587" s="1" t="s">
        <v>5156</v>
      </c>
      <c r="G587" s="1">
        <v>50</v>
      </c>
      <c r="H587" s="1">
        <v>1</v>
      </c>
      <c r="I587" s="1">
        <v>2020</v>
      </c>
      <c r="J587" s="1" t="s">
        <v>6</v>
      </c>
      <c r="K587" s="1">
        <v>14</v>
      </c>
      <c r="L587" s="1">
        <v>49</v>
      </c>
      <c r="M587" s="1">
        <v>70</v>
      </c>
      <c r="N587" s="1" t="s">
        <v>6</v>
      </c>
      <c r="O587" s="1" t="s">
        <v>5157</v>
      </c>
      <c r="P587" s="3" t="str">
        <f>HYPERLINK("http://dx.doi.org/10.5354/0719-0417.2021.60866","http://dx.doi.org/10.5354/0719-0417.2021.60866")</f>
        <v>http://dx.doi.org/10.5354/0719-0417.2021.60866</v>
      </c>
    </row>
    <row r="588" spans="1:16" ht="15.75" customHeight="1">
      <c r="A588" s="1" t="s">
        <v>10</v>
      </c>
      <c r="B588" s="1" t="s">
        <v>2269</v>
      </c>
      <c r="C588" s="1" t="s">
        <v>2270</v>
      </c>
      <c r="D588" s="1" t="s">
        <v>2271</v>
      </c>
      <c r="E588" s="1" t="s">
        <v>2272</v>
      </c>
      <c r="F588" s="1" t="s">
        <v>2273</v>
      </c>
      <c r="H588" s="1">
        <v>1</v>
      </c>
      <c r="I588" s="1">
        <v>2020</v>
      </c>
      <c r="J588" s="1">
        <v>48</v>
      </c>
      <c r="K588" s="1">
        <v>5</v>
      </c>
      <c r="O588" s="1" t="s">
        <v>2274</v>
      </c>
    </row>
    <row r="589" spans="1:16" ht="15.75" customHeight="1">
      <c r="A589" s="1" t="s">
        <v>0</v>
      </c>
      <c r="B589" s="1" t="s">
        <v>3229</v>
      </c>
      <c r="C589" s="1" t="s">
        <v>3230</v>
      </c>
      <c r="D589" s="1" t="s">
        <v>3231</v>
      </c>
      <c r="E589" s="1" t="s">
        <v>3232</v>
      </c>
      <c r="F589" s="1" t="s">
        <v>3233</v>
      </c>
      <c r="G589" s="1">
        <v>26</v>
      </c>
      <c r="H589" s="1">
        <v>1</v>
      </c>
      <c r="I589" s="1">
        <v>2020</v>
      </c>
      <c r="J589" s="1">
        <v>7</v>
      </c>
      <c r="K589" s="1">
        <v>1</v>
      </c>
      <c r="L589" s="1">
        <v>61</v>
      </c>
      <c r="M589" s="1">
        <v>84</v>
      </c>
      <c r="N589" s="1" t="s">
        <v>3234</v>
      </c>
      <c r="O589" s="1" t="s">
        <v>3235</v>
      </c>
      <c r="P589" s="3" t="str">
        <f>HYPERLINK("http://dx.doi.org/10.1017/als.2019.25","http://dx.doi.org/10.1017/als.2019.25")</f>
        <v>http://dx.doi.org/10.1017/als.2019.25</v>
      </c>
    </row>
    <row r="590" spans="1:16" ht="15.75" customHeight="1">
      <c r="A590" s="1" t="s">
        <v>0</v>
      </c>
      <c r="B590" s="1" t="s">
        <v>6412</v>
      </c>
      <c r="C590" s="1" t="s">
        <v>6413</v>
      </c>
      <c r="D590" s="1" t="s">
        <v>1967</v>
      </c>
      <c r="E590" s="1" t="s">
        <v>6414</v>
      </c>
      <c r="F590" s="1" t="s">
        <v>6415</v>
      </c>
      <c r="G590" s="1">
        <v>82</v>
      </c>
      <c r="H590" s="1">
        <v>1</v>
      </c>
      <c r="I590" s="1">
        <v>2020</v>
      </c>
      <c r="J590" s="1">
        <v>28</v>
      </c>
      <c r="K590" s="1">
        <v>55</v>
      </c>
      <c r="L590" s="1">
        <v>171</v>
      </c>
      <c r="M590" s="1">
        <v>201</v>
      </c>
      <c r="N590" s="1" t="s">
        <v>6</v>
      </c>
      <c r="O590" s="1" t="s">
        <v>6416</v>
      </c>
      <c r="P590" s="3" t="str">
        <f>HYPERLINK("http://dx.doi.org/10.18504/pl2855-007-2020","http://dx.doi.org/10.18504/pl2855-007-2020")</f>
        <v>http://dx.doi.org/10.18504/pl2855-007-2020</v>
      </c>
    </row>
    <row r="591" spans="1:16" ht="15.75" customHeight="1">
      <c r="A591" s="1" t="s">
        <v>0</v>
      </c>
      <c r="B591" s="1" t="s">
        <v>6845</v>
      </c>
      <c r="C591" s="1" t="s">
        <v>6846</v>
      </c>
      <c r="D591" s="1" t="s">
        <v>6847</v>
      </c>
      <c r="E591" s="1" t="s">
        <v>6848</v>
      </c>
      <c r="F591" s="1" t="s">
        <v>6849</v>
      </c>
      <c r="G591" s="1">
        <v>50</v>
      </c>
      <c r="H591" s="1">
        <v>1</v>
      </c>
      <c r="I591" s="1">
        <v>2020</v>
      </c>
      <c r="J591" s="1">
        <v>26</v>
      </c>
      <c r="K591" s="1" t="s">
        <v>6</v>
      </c>
      <c r="L591" s="1" t="s">
        <v>6</v>
      </c>
      <c r="M591" s="1" t="s">
        <v>6</v>
      </c>
      <c r="N591" s="1" t="s">
        <v>6850</v>
      </c>
      <c r="O591" s="1" t="s">
        <v>6851</v>
      </c>
      <c r="P591" s="3" t="str">
        <f>HYPERLINK("http://dx.doi.org/10.26512/lc.v26.2020.36298","http://dx.doi.org/10.26512/lc.v26.2020.36298")</f>
        <v>http://dx.doi.org/10.26512/lc.v26.2020.36298</v>
      </c>
    </row>
    <row r="592" spans="1:16" ht="15.75" customHeight="1">
      <c r="A592" s="1" t="s">
        <v>0</v>
      </c>
      <c r="B592" s="1" t="s">
        <v>3788</v>
      </c>
      <c r="C592" s="1" t="s">
        <v>3789</v>
      </c>
      <c r="D592" s="1" t="s">
        <v>1009</v>
      </c>
      <c r="E592" s="1" t="s">
        <v>3790</v>
      </c>
      <c r="F592" s="1" t="s">
        <v>3791</v>
      </c>
      <c r="G592" s="1">
        <v>128</v>
      </c>
      <c r="H592" s="1">
        <v>1</v>
      </c>
      <c r="I592" s="1">
        <v>2020</v>
      </c>
      <c r="J592" s="1">
        <v>26</v>
      </c>
      <c r="K592" s="1">
        <v>106</v>
      </c>
      <c r="L592" s="1">
        <v>183</v>
      </c>
      <c r="M592" s="1">
        <v>220</v>
      </c>
      <c r="N592" s="1" t="s">
        <v>6</v>
      </c>
      <c r="O592" s="1" t="s">
        <v>3792</v>
      </c>
      <c r="P592" s="3" t="str">
        <f>HYPERLINK("http://dx.doi.org/10.22185/24487147.2020.106.36","http://dx.doi.org/10.22185/24487147.2020.106.36")</f>
        <v>http://dx.doi.org/10.22185/24487147.2020.106.36</v>
      </c>
    </row>
    <row r="593" spans="1:16" ht="15.75" customHeight="1">
      <c r="A593" s="1" t="s">
        <v>0</v>
      </c>
      <c r="B593" s="1" t="s">
        <v>6810</v>
      </c>
      <c r="C593" s="1" t="s">
        <v>6811</v>
      </c>
      <c r="D593" s="1" t="s">
        <v>6812</v>
      </c>
      <c r="E593" s="1" t="s">
        <v>6813</v>
      </c>
      <c r="F593" s="1" t="s">
        <v>6814</v>
      </c>
      <c r="G593" s="1">
        <v>33</v>
      </c>
      <c r="H593" s="1">
        <v>1</v>
      </c>
      <c r="I593" s="1">
        <v>2020</v>
      </c>
      <c r="J593" s="1" t="s">
        <v>6</v>
      </c>
      <c r="K593" s="1">
        <v>35</v>
      </c>
      <c r="L593" s="1">
        <v>141</v>
      </c>
      <c r="M593" s="1">
        <v>154</v>
      </c>
      <c r="N593" s="1" t="s">
        <v>6</v>
      </c>
      <c r="O593" s="1" t="s">
        <v>6815</v>
      </c>
      <c r="P593" s="3" t="str">
        <f>HYPERLINK("http://dx.doi.org/10.5944/reec.35.2020.25107","http://dx.doi.org/10.5944/reec.35.2020.25107")</f>
        <v>http://dx.doi.org/10.5944/reec.35.2020.25107</v>
      </c>
    </row>
    <row r="594" spans="1:16" ht="15.75" customHeight="1">
      <c r="A594" s="1" t="s">
        <v>0</v>
      </c>
      <c r="B594" s="1" t="s">
        <v>3663</v>
      </c>
      <c r="C594" s="2" t="s">
        <v>3664</v>
      </c>
      <c r="D594" s="1" t="s">
        <v>58</v>
      </c>
      <c r="E594" s="1" t="s">
        <v>3665</v>
      </c>
      <c r="F594" s="1" t="s">
        <v>3666</v>
      </c>
      <c r="G594" s="1">
        <v>43</v>
      </c>
      <c r="H594" s="1">
        <v>1</v>
      </c>
      <c r="I594" s="1">
        <v>2020</v>
      </c>
      <c r="J594" s="1">
        <v>20</v>
      </c>
      <c r="K594" s="1">
        <v>1</v>
      </c>
      <c r="L594" s="1">
        <v>78</v>
      </c>
      <c r="M594" s="1">
        <v>102</v>
      </c>
      <c r="N594" s="1" t="s">
        <v>6</v>
      </c>
      <c r="O594" s="1" t="s">
        <v>3667</v>
      </c>
      <c r="P594" s="3" t="str">
        <f>HYPERLINK("http://dx.doi.org/10.4067/S0719-09482020000100078","http://dx.doi.org/10.4067/S0719-09482020000100078")</f>
        <v>http://dx.doi.org/10.4067/S0719-09482020000100078</v>
      </c>
    </row>
    <row r="595" spans="1:16" ht="15.75" customHeight="1">
      <c r="A595" s="1" t="s">
        <v>0</v>
      </c>
      <c r="B595" s="1" t="s">
        <v>5516</v>
      </c>
      <c r="C595" s="1" t="s">
        <v>5517</v>
      </c>
      <c r="D595" s="1" t="s">
        <v>1874</v>
      </c>
      <c r="E595" s="1" t="s">
        <v>5518</v>
      </c>
      <c r="F595" s="1" t="s">
        <v>5519</v>
      </c>
      <c r="G595" s="1">
        <v>53</v>
      </c>
      <c r="H595" s="1">
        <v>1</v>
      </c>
      <c r="I595" s="1">
        <v>2020</v>
      </c>
      <c r="J595" s="1">
        <v>50</v>
      </c>
      <c r="K595" s="1" t="s">
        <v>6</v>
      </c>
      <c r="L595" s="1">
        <v>29</v>
      </c>
      <c r="M595" s="1">
        <v>58</v>
      </c>
      <c r="N595" s="1" t="s">
        <v>6</v>
      </c>
      <c r="O595" s="1" t="s">
        <v>5520</v>
      </c>
      <c r="P595" s="3" t="str">
        <f>HYPERLINK("http://dx.doi.org/10.14422/mig.i50.y2020.002","http://dx.doi.org/10.14422/mig.i50.y2020.002")</f>
        <v>http://dx.doi.org/10.14422/mig.i50.y2020.002</v>
      </c>
    </row>
    <row r="596" spans="1:16" ht="15.75" customHeight="1">
      <c r="A596" s="1" t="s">
        <v>0</v>
      </c>
      <c r="B596" s="1" t="s">
        <v>6286</v>
      </c>
      <c r="C596" s="1" t="s">
        <v>6287</v>
      </c>
      <c r="D596" s="1" t="s">
        <v>154</v>
      </c>
      <c r="E596" s="1" t="s">
        <v>6288</v>
      </c>
      <c r="F596" s="1" t="s">
        <v>6289</v>
      </c>
      <c r="G596" s="1">
        <v>43</v>
      </c>
      <c r="H596" s="1">
        <v>1</v>
      </c>
      <c r="I596" s="1">
        <v>2020</v>
      </c>
      <c r="J596" s="1">
        <v>35</v>
      </c>
      <c r="K596" s="1">
        <v>1</v>
      </c>
      <c r="L596" s="1">
        <v>388</v>
      </c>
      <c r="M596" s="1">
        <v>419</v>
      </c>
      <c r="N596" s="1" t="s">
        <v>6</v>
      </c>
      <c r="O596" s="1" t="s">
        <v>6</v>
      </c>
      <c r="P596" s="1" t="s">
        <v>6</v>
      </c>
    </row>
    <row r="597" spans="1:16" ht="15.75" customHeight="1">
      <c r="A597" s="1" t="s">
        <v>0</v>
      </c>
      <c r="B597" s="1" t="s">
        <v>3516</v>
      </c>
      <c r="C597" s="1" t="s">
        <v>3517</v>
      </c>
      <c r="D597" s="1" t="s">
        <v>1325</v>
      </c>
      <c r="E597" s="1" t="s">
        <v>3518</v>
      </c>
      <c r="F597" s="1" t="s">
        <v>3519</v>
      </c>
      <c r="G597" s="1">
        <v>26</v>
      </c>
      <c r="H597" s="1">
        <v>1</v>
      </c>
      <c r="I597" s="1">
        <v>2020</v>
      </c>
      <c r="J597" s="1">
        <v>21</v>
      </c>
      <c r="K597" s="1">
        <v>4</v>
      </c>
      <c r="L597" s="1">
        <v>1115</v>
      </c>
      <c r="M597" s="1">
        <v>1130</v>
      </c>
      <c r="N597" s="1" t="s">
        <v>6</v>
      </c>
      <c r="O597" s="1" t="s">
        <v>3520</v>
      </c>
      <c r="P597" s="3" t="str">
        <f>HYPERLINK("http://dx.doi.org/10.1007/s12134-019-00696-7","http://dx.doi.org/10.1007/s12134-019-00696-7")</f>
        <v>http://dx.doi.org/10.1007/s12134-019-00696-7</v>
      </c>
    </row>
    <row r="598" spans="1:16" ht="15.75" customHeight="1">
      <c r="A598" s="1" t="s">
        <v>0</v>
      </c>
      <c r="B598" s="1" t="s">
        <v>5858</v>
      </c>
      <c r="C598" s="1" t="s">
        <v>5859</v>
      </c>
      <c r="D598" s="1" t="s">
        <v>1264</v>
      </c>
      <c r="E598" s="1" t="s">
        <v>5860</v>
      </c>
      <c r="F598" s="1" t="s">
        <v>5861</v>
      </c>
      <c r="G598" s="1">
        <v>34</v>
      </c>
      <c r="H598" s="1">
        <v>1</v>
      </c>
      <c r="I598" s="1">
        <v>2020</v>
      </c>
      <c r="J598" s="1">
        <v>10</v>
      </c>
      <c r="K598" s="1">
        <v>2</v>
      </c>
      <c r="L598" s="1">
        <v>51</v>
      </c>
      <c r="M598" s="1">
        <v>77</v>
      </c>
      <c r="N598" s="1" t="s">
        <v>6</v>
      </c>
      <c r="O598" s="1" t="s">
        <v>6</v>
      </c>
      <c r="P598" s="1" t="s">
        <v>6</v>
      </c>
    </row>
    <row r="599" spans="1:16" ht="15.75" customHeight="1">
      <c r="A599" s="1" t="s">
        <v>0</v>
      </c>
      <c r="B599" s="1" t="s">
        <v>5601</v>
      </c>
      <c r="C599" s="1" t="s">
        <v>5602</v>
      </c>
      <c r="D599" s="1" t="s">
        <v>2400</v>
      </c>
      <c r="E599" s="1" t="s">
        <v>5603</v>
      </c>
      <c r="F599" s="1" t="s">
        <v>5604</v>
      </c>
      <c r="G599" s="1">
        <v>24</v>
      </c>
      <c r="H599" s="1">
        <v>1</v>
      </c>
      <c r="I599" s="1">
        <v>2020</v>
      </c>
      <c r="J599" s="1">
        <v>59</v>
      </c>
      <c r="K599" s="1">
        <v>3</v>
      </c>
      <c r="L599" s="1">
        <v>14</v>
      </c>
      <c r="M599" s="1">
        <v>36</v>
      </c>
      <c r="N599" s="1" t="s">
        <v>6</v>
      </c>
      <c r="O599" s="1" t="s">
        <v>5605</v>
      </c>
      <c r="P599" s="3" t="str">
        <f>HYPERLINK("http://dx.doi.org/10.30827/cuadgeo.v59i3.9177","http://dx.doi.org/10.30827/cuadgeo.v59i3.9177")</f>
        <v>http://dx.doi.org/10.30827/cuadgeo.v59i3.9177</v>
      </c>
    </row>
    <row r="600" spans="1:16" ht="15.75" customHeight="1">
      <c r="A600" s="1" t="s">
        <v>10</v>
      </c>
      <c r="B600" s="1" t="s">
        <v>5446</v>
      </c>
      <c r="C600" s="1" t="s">
        <v>5447</v>
      </c>
      <c r="D600" s="1" t="s">
        <v>5448</v>
      </c>
      <c r="E600" s="1" t="s">
        <v>5449</v>
      </c>
      <c r="F600" s="1" t="s">
        <v>5450</v>
      </c>
      <c r="H600" s="1">
        <v>0</v>
      </c>
      <c r="I600" s="1">
        <v>2020</v>
      </c>
      <c r="J600" s="1">
        <v>8</v>
      </c>
      <c r="K600" s="1">
        <v>2</v>
      </c>
      <c r="O600" s="1" t="s">
        <v>5451</v>
      </c>
    </row>
    <row r="601" spans="1:16" ht="15.75" customHeight="1">
      <c r="A601" s="1" t="s">
        <v>10</v>
      </c>
      <c r="B601" s="1" t="s">
        <v>3134</v>
      </c>
      <c r="C601" s="1" t="s">
        <v>3135</v>
      </c>
      <c r="D601" s="1" t="s">
        <v>1290</v>
      </c>
      <c r="E601" s="1" t="s">
        <v>3136</v>
      </c>
      <c r="F601" s="1" t="s">
        <v>3137</v>
      </c>
      <c r="H601" s="1">
        <v>0</v>
      </c>
      <c r="I601" s="1">
        <v>2020</v>
      </c>
      <c r="J601" s="1">
        <v>24</v>
      </c>
      <c r="K601" s="1">
        <v>2</v>
      </c>
      <c r="O601" s="1" t="s">
        <v>3138</v>
      </c>
    </row>
    <row r="602" spans="1:16" ht="15.75" customHeight="1">
      <c r="A602" s="1" t="s">
        <v>10</v>
      </c>
      <c r="B602" s="1" t="s">
        <v>6275</v>
      </c>
      <c r="C602" s="1" t="s">
        <v>6276</v>
      </c>
      <c r="D602" s="1" t="s">
        <v>6277</v>
      </c>
      <c r="E602" s="1" t="s">
        <v>6278</v>
      </c>
      <c r="F602" s="1" t="s">
        <v>6279</v>
      </c>
      <c r="H602" s="1">
        <v>0</v>
      </c>
      <c r="I602" s="1">
        <v>2020</v>
      </c>
      <c r="J602" s="1">
        <v>28</v>
      </c>
      <c r="K602" s="1">
        <v>1</v>
      </c>
    </row>
    <row r="603" spans="1:16" ht="15.75" customHeight="1">
      <c r="A603" s="1" t="s">
        <v>0</v>
      </c>
      <c r="B603" s="1" t="s">
        <v>4715</v>
      </c>
      <c r="C603" s="1" t="s">
        <v>4716</v>
      </c>
      <c r="D603" s="1" t="s">
        <v>4717</v>
      </c>
      <c r="E603" s="1" t="s">
        <v>4718</v>
      </c>
      <c r="F603" s="1" t="s">
        <v>4719</v>
      </c>
      <c r="G603" s="1">
        <v>16</v>
      </c>
      <c r="H603" s="1">
        <v>0</v>
      </c>
      <c r="I603" s="1">
        <v>2020</v>
      </c>
      <c r="J603" s="1" t="s">
        <v>6</v>
      </c>
      <c r="K603" s="1">
        <v>50</v>
      </c>
      <c r="L603" s="1">
        <v>97</v>
      </c>
      <c r="M603" s="1">
        <v>111</v>
      </c>
      <c r="N603" s="1" t="s">
        <v>6</v>
      </c>
      <c r="O603" s="1" t="s">
        <v>4720</v>
      </c>
      <c r="P603" s="3" t="str">
        <f>HYPERLINK("http://dx.doi.org/10.32735/S0718-2201202000050779","http://dx.doi.org/10.32735/S0718-2201202000050779")</f>
        <v>http://dx.doi.org/10.32735/S0718-2201202000050779</v>
      </c>
    </row>
    <row r="604" spans="1:16" ht="15.75" customHeight="1">
      <c r="A604" s="1" t="s">
        <v>0</v>
      </c>
      <c r="B604" s="1" t="s">
        <v>3658</v>
      </c>
      <c r="C604" s="1" t="s">
        <v>3659</v>
      </c>
      <c r="D604" s="1" t="s">
        <v>236</v>
      </c>
      <c r="E604" s="1" t="s">
        <v>3660</v>
      </c>
      <c r="F604" s="1" t="s">
        <v>3661</v>
      </c>
      <c r="G604" s="1">
        <v>29</v>
      </c>
      <c r="H604" s="1">
        <v>0</v>
      </c>
      <c r="I604" s="1">
        <v>2020</v>
      </c>
      <c r="J604" s="1">
        <v>43</v>
      </c>
      <c r="K604" s="1">
        <v>2</v>
      </c>
      <c r="L604" s="1">
        <v>91</v>
      </c>
      <c r="M604" s="1">
        <v>107</v>
      </c>
      <c r="N604" s="1" t="s">
        <v>6</v>
      </c>
      <c r="O604" s="1" t="s">
        <v>3662</v>
      </c>
      <c r="P604" s="3" t="str">
        <f>HYPERLINK("http://dx.doi.org/10.15446/RCS.V43N2.82574","http://dx.doi.org/10.15446/RCS.V43N2.82574")</f>
        <v>http://dx.doi.org/10.15446/RCS.V43N2.82574</v>
      </c>
    </row>
    <row r="605" spans="1:16" ht="15.75" customHeight="1">
      <c r="A605" s="1" t="s">
        <v>10</v>
      </c>
      <c r="B605" s="1" t="s">
        <v>3499</v>
      </c>
      <c r="C605" s="1" t="s">
        <v>3500</v>
      </c>
      <c r="D605" s="1" t="s">
        <v>755</v>
      </c>
      <c r="E605" s="1" t="s">
        <v>3501</v>
      </c>
      <c r="F605" s="1" t="s">
        <v>3502</v>
      </c>
      <c r="H605" s="1">
        <v>0</v>
      </c>
      <c r="I605" s="1">
        <v>2020</v>
      </c>
      <c r="K605" s="1">
        <v>72</v>
      </c>
    </row>
    <row r="606" spans="1:16" ht="15.75" customHeight="1">
      <c r="A606" s="1" t="s">
        <v>0</v>
      </c>
      <c r="B606" s="1" t="s">
        <v>5143</v>
      </c>
      <c r="C606" s="1" t="s">
        <v>5144</v>
      </c>
      <c r="D606" s="1" t="s">
        <v>1815</v>
      </c>
      <c r="E606" s="1" t="s">
        <v>5145</v>
      </c>
      <c r="F606" s="1" t="s">
        <v>5146</v>
      </c>
      <c r="G606" s="1">
        <v>87</v>
      </c>
      <c r="H606" s="1">
        <v>0</v>
      </c>
      <c r="I606" s="1">
        <v>2020</v>
      </c>
      <c r="J606" s="1">
        <v>49</v>
      </c>
      <c r="K606" s="1" t="s">
        <v>6</v>
      </c>
      <c r="L606" s="1">
        <v>3721</v>
      </c>
      <c r="M606" s="1">
        <v>3737</v>
      </c>
      <c r="N606" s="1" t="s">
        <v>6</v>
      </c>
      <c r="O606" s="1" t="s">
        <v>6</v>
      </c>
      <c r="P606" s="1" t="s">
        <v>6</v>
      </c>
    </row>
    <row r="607" spans="1:16" ht="15.75" customHeight="1">
      <c r="A607" s="1" t="s">
        <v>0</v>
      </c>
      <c r="B607" s="1" t="s">
        <v>1711</v>
      </c>
      <c r="C607" s="1" t="s">
        <v>1712</v>
      </c>
      <c r="D607" s="1" t="s">
        <v>1713</v>
      </c>
      <c r="E607" s="1" t="s">
        <v>1714</v>
      </c>
      <c r="F607" s="1" t="s">
        <v>1715</v>
      </c>
      <c r="G607" s="1">
        <v>31</v>
      </c>
      <c r="H607" s="1">
        <v>0</v>
      </c>
      <c r="I607" s="1">
        <v>2020</v>
      </c>
      <c r="J607" s="1">
        <v>24</v>
      </c>
      <c r="K607" s="1">
        <v>68</v>
      </c>
      <c r="L607" s="1">
        <v>117</v>
      </c>
      <c r="M607" s="1">
        <v>134</v>
      </c>
      <c r="N607" s="1" t="s">
        <v>6</v>
      </c>
      <c r="O607" s="1" t="s">
        <v>1716</v>
      </c>
      <c r="P607" s="3" t="str">
        <f>HYPERLINK("http://dx.doi.org/10.17141/iconos.68.2020.4043","http://dx.doi.org/10.17141/iconos.68.2020.4043")</f>
        <v>http://dx.doi.org/10.17141/iconos.68.2020.4043</v>
      </c>
    </row>
    <row r="608" spans="1:16" ht="15.75" customHeight="1">
      <c r="A608" s="1" t="s">
        <v>0</v>
      </c>
      <c r="B608" s="1" t="s">
        <v>6972</v>
      </c>
      <c r="C608" s="1" t="s">
        <v>6973</v>
      </c>
      <c r="D608" s="1" t="s">
        <v>6974</v>
      </c>
      <c r="E608" s="1" t="s">
        <v>6975</v>
      </c>
      <c r="F608" s="1" t="s">
        <v>6976</v>
      </c>
      <c r="G608" s="1">
        <v>18</v>
      </c>
      <c r="H608" s="1">
        <v>0</v>
      </c>
      <c r="I608" s="1">
        <v>2020</v>
      </c>
      <c r="J608" s="1" t="s">
        <v>6</v>
      </c>
      <c r="K608" s="1">
        <v>19</v>
      </c>
      <c r="L608" s="1">
        <v>32</v>
      </c>
      <c r="M608" s="1">
        <v>46</v>
      </c>
      <c r="N608" s="1" t="s">
        <v>6</v>
      </c>
      <c r="O608" s="1" t="s">
        <v>6977</v>
      </c>
      <c r="P608" s="3" t="str">
        <f>HYPERLINK("http://dx.doi.org/10.4995/reinad.2020.13824","http://dx.doi.org/10.4995/reinad.2020.13824")</f>
        <v>http://dx.doi.org/10.4995/reinad.2020.13824</v>
      </c>
    </row>
    <row r="609" spans="1:16" ht="15.75" customHeight="1">
      <c r="A609" s="1" t="s">
        <v>10</v>
      </c>
      <c r="B609" s="1" t="s">
        <v>1594</v>
      </c>
      <c r="C609" s="1" t="s">
        <v>1595</v>
      </c>
      <c r="D609" s="1" t="s">
        <v>1596</v>
      </c>
      <c r="E609" s="1" t="s">
        <v>1597</v>
      </c>
      <c r="F609" s="1" t="s">
        <v>1598</v>
      </c>
      <c r="H609" s="1">
        <v>0</v>
      </c>
      <c r="I609" s="1">
        <v>2020</v>
      </c>
      <c r="O609" s="1" t="s">
        <v>1599</v>
      </c>
    </row>
    <row r="610" spans="1:16" ht="15.75" customHeight="1">
      <c r="A610" s="1" t="s">
        <v>0</v>
      </c>
      <c r="B610" s="1" t="s">
        <v>519</v>
      </c>
      <c r="C610" s="1" t="s">
        <v>520</v>
      </c>
      <c r="D610" s="1" t="s">
        <v>521</v>
      </c>
      <c r="E610" s="1" t="s">
        <v>522</v>
      </c>
      <c r="F610" s="1" t="s">
        <v>523</v>
      </c>
      <c r="G610" s="1">
        <v>26</v>
      </c>
      <c r="H610" s="1">
        <v>0</v>
      </c>
      <c r="I610" s="1">
        <v>2020</v>
      </c>
      <c r="J610" s="1">
        <v>30</v>
      </c>
      <c r="K610" s="1" t="s">
        <v>524</v>
      </c>
    </row>
    <row r="611" spans="1:16" ht="15.75" customHeight="1">
      <c r="A611" s="1" t="s">
        <v>0</v>
      </c>
      <c r="B611" s="1" t="s">
        <v>5262</v>
      </c>
      <c r="C611" s="1" t="s">
        <v>5263</v>
      </c>
      <c r="D611" s="1" t="s">
        <v>3814</v>
      </c>
      <c r="E611" s="1" t="s">
        <v>5264</v>
      </c>
      <c r="F611" s="1" t="s">
        <v>5265</v>
      </c>
      <c r="G611" s="1">
        <v>22</v>
      </c>
      <c r="H611" s="1">
        <v>0</v>
      </c>
      <c r="I611" s="1">
        <v>2020</v>
      </c>
      <c r="J611" s="1">
        <v>10</v>
      </c>
      <c r="K611" s="1">
        <v>1</v>
      </c>
      <c r="L611" s="1">
        <v>33</v>
      </c>
      <c r="M611" s="1">
        <v>51</v>
      </c>
      <c r="N611" s="1" t="s">
        <v>6</v>
      </c>
      <c r="O611" s="1" t="s">
        <v>5266</v>
      </c>
      <c r="P611" s="3" t="str">
        <f>HYPERLINK("http://dx.doi.org/10.35004/raep.v10i1.181","http://dx.doi.org/10.35004/raep.v10i1.181")</f>
        <v>http://dx.doi.org/10.35004/raep.v10i1.181</v>
      </c>
    </row>
    <row r="612" spans="1:16" ht="15.75" customHeight="1">
      <c r="A612" s="1" t="s">
        <v>10</v>
      </c>
      <c r="B612" s="1" t="s">
        <v>4048</v>
      </c>
      <c r="C612" s="2" t="s">
        <v>4049</v>
      </c>
      <c r="D612" s="1" t="s">
        <v>4050</v>
      </c>
      <c r="E612" s="1" t="s">
        <v>4051</v>
      </c>
      <c r="F612" s="1" t="s">
        <v>4052</v>
      </c>
      <c r="H612" s="1">
        <v>0</v>
      </c>
      <c r="I612" s="1">
        <v>2020</v>
      </c>
      <c r="J612" s="1">
        <v>24</v>
      </c>
      <c r="K612" s="1">
        <v>646</v>
      </c>
      <c r="O612" s="1" t="s">
        <v>4053</v>
      </c>
    </row>
    <row r="613" spans="1:16" ht="15.75" customHeight="1">
      <c r="A613" s="1" t="s">
        <v>0</v>
      </c>
      <c r="B613" s="1" t="s">
        <v>2147</v>
      </c>
      <c r="C613" s="1" t="s">
        <v>2148</v>
      </c>
      <c r="D613" s="1" t="s">
        <v>236</v>
      </c>
      <c r="E613" s="1" t="s">
        <v>2149</v>
      </c>
      <c r="F613" s="1" t="s">
        <v>2150</v>
      </c>
      <c r="G613" s="1">
        <v>40</v>
      </c>
      <c r="H613" s="1">
        <v>0</v>
      </c>
      <c r="I613" s="1">
        <v>2020</v>
      </c>
      <c r="J613" s="1">
        <v>43</v>
      </c>
      <c r="K613" s="1">
        <v>1</v>
      </c>
      <c r="L613" s="1">
        <v>17</v>
      </c>
      <c r="M613" s="1">
        <v>36</v>
      </c>
      <c r="N613" s="1" t="s">
        <v>6</v>
      </c>
      <c r="O613" s="1" t="s">
        <v>2151</v>
      </c>
      <c r="P613" s="3" t="str">
        <f>HYPERLINK("http://dx.doi.org/10.15446/rcs.v43n1.79075","http://dx.doi.org/10.15446/rcs.v43n1.79075")</f>
        <v>http://dx.doi.org/10.15446/rcs.v43n1.79075</v>
      </c>
    </row>
    <row r="614" spans="1:16" ht="15.75" customHeight="1">
      <c r="A614" s="1" t="s">
        <v>10</v>
      </c>
      <c r="B614" s="1" t="s">
        <v>322</v>
      </c>
      <c r="C614" s="1" t="s">
        <v>323</v>
      </c>
      <c r="D614" s="1" t="s">
        <v>324</v>
      </c>
      <c r="E614" s="1" t="s">
        <v>325</v>
      </c>
      <c r="F614" s="1" t="s">
        <v>326</v>
      </c>
      <c r="H614" s="1">
        <v>0</v>
      </c>
      <c r="I614" s="1">
        <v>2020</v>
      </c>
      <c r="J614" s="1">
        <v>39</v>
      </c>
      <c r="K614" s="1">
        <v>76</v>
      </c>
      <c r="O614" s="1" t="s">
        <v>327</v>
      </c>
    </row>
    <row r="615" spans="1:16" ht="15.75" customHeight="1">
      <c r="A615" s="1" t="s">
        <v>0</v>
      </c>
      <c r="B615" s="1" t="s">
        <v>3471</v>
      </c>
      <c r="C615" s="1" t="s">
        <v>3472</v>
      </c>
      <c r="D615" s="1" t="s">
        <v>2910</v>
      </c>
      <c r="E615" s="1" t="s">
        <v>3473</v>
      </c>
      <c r="F615" s="1" t="s">
        <v>3474</v>
      </c>
      <c r="G615" s="1">
        <v>51</v>
      </c>
      <c r="H615" s="1">
        <v>0</v>
      </c>
      <c r="I615" s="1">
        <v>2020</v>
      </c>
      <c r="J615" s="1">
        <v>21</v>
      </c>
      <c r="K615" s="1" t="s">
        <v>6</v>
      </c>
      <c r="L615" s="1" t="s">
        <v>6</v>
      </c>
      <c r="M615" s="1" t="s">
        <v>6</v>
      </c>
      <c r="N615" s="1" t="s">
        <v>3475</v>
      </c>
      <c r="O615" s="1" t="s">
        <v>3476</v>
      </c>
      <c r="P615" s="3" t="str">
        <f>HYPERLINK("http://dx.doi.org/10.21670/ref.2007049","http://dx.doi.org/10.21670/ref.2007049")</f>
        <v>http://dx.doi.org/10.21670/ref.2007049</v>
      </c>
    </row>
    <row r="616" spans="1:16" ht="15.75" customHeight="1">
      <c r="A616" s="1" t="s">
        <v>10</v>
      </c>
      <c r="B616" s="1" t="s">
        <v>5627</v>
      </c>
      <c r="C616" s="1" t="s">
        <v>5628</v>
      </c>
      <c r="D616" s="1" t="s">
        <v>5629</v>
      </c>
      <c r="E616" s="1" t="s">
        <v>5630</v>
      </c>
      <c r="F616" s="1" t="s">
        <v>5631</v>
      </c>
      <c r="H616" s="1">
        <v>0</v>
      </c>
      <c r="I616" s="1">
        <v>2020</v>
      </c>
      <c r="J616" s="1">
        <v>11</v>
      </c>
      <c r="K616" s="1">
        <v>1</v>
      </c>
      <c r="O616" s="1" t="s">
        <v>5632</v>
      </c>
    </row>
    <row r="617" spans="1:16" ht="15.75" customHeight="1">
      <c r="A617" s="1" t="s">
        <v>10</v>
      </c>
      <c r="B617" s="1" t="s">
        <v>631</v>
      </c>
      <c r="C617" s="1" t="s">
        <v>632</v>
      </c>
      <c r="D617" s="1" t="s">
        <v>633</v>
      </c>
      <c r="E617" s="1" t="s">
        <v>634</v>
      </c>
      <c r="F617" s="1" t="s">
        <v>635</v>
      </c>
      <c r="H617" s="1">
        <v>0</v>
      </c>
      <c r="I617" s="1">
        <v>2020</v>
      </c>
      <c r="J617" s="1">
        <v>11</v>
      </c>
      <c r="K617" s="1">
        <v>1</v>
      </c>
      <c r="O617" s="1" t="s">
        <v>636</v>
      </c>
    </row>
    <row r="618" spans="1:16" ht="15.75" customHeight="1">
      <c r="A618" s="1" t="s">
        <v>0</v>
      </c>
      <c r="B618" s="1" t="s">
        <v>3777</v>
      </c>
      <c r="C618" s="1" t="s">
        <v>3778</v>
      </c>
      <c r="D618" s="1" t="s">
        <v>2664</v>
      </c>
      <c r="E618" s="1" t="s">
        <v>3779</v>
      </c>
      <c r="F618" s="1" t="s">
        <v>3780</v>
      </c>
      <c r="G618" s="1">
        <v>72</v>
      </c>
      <c r="H618" s="1">
        <v>0</v>
      </c>
      <c r="I618" s="1">
        <v>2020</v>
      </c>
      <c r="J618" s="1">
        <v>7</v>
      </c>
      <c r="K618" s="1">
        <v>3</v>
      </c>
      <c r="L618" s="1">
        <v>373</v>
      </c>
      <c r="M618" s="1">
        <v>403</v>
      </c>
      <c r="N618" s="1" t="s">
        <v>6</v>
      </c>
      <c r="O618" s="1" t="s">
        <v>3781</v>
      </c>
      <c r="P618" s="3" t="str">
        <f>HYPERLINK("http://dx.doi.org/10.47456/simbitica.v7i3.33707","http://dx.doi.org/10.47456/simbitica.v7i3.33707")</f>
        <v>http://dx.doi.org/10.47456/simbitica.v7i3.33707</v>
      </c>
    </row>
    <row r="619" spans="1:16" ht="15.75" customHeight="1">
      <c r="A619" s="1" t="s">
        <v>0</v>
      </c>
      <c r="B619" s="1" t="s">
        <v>5838</v>
      </c>
      <c r="C619" s="1" t="s">
        <v>5839</v>
      </c>
      <c r="D619" s="1" t="s">
        <v>201</v>
      </c>
      <c r="E619" s="1" t="s">
        <v>5840</v>
      </c>
      <c r="F619" s="1" t="s">
        <v>5841</v>
      </c>
      <c r="G619" s="1">
        <v>69</v>
      </c>
      <c r="H619" s="1">
        <v>0</v>
      </c>
      <c r="I619" s="1">
        <v>2020</v>
      </c>
      <c r="J619" s="1" t="s">
        <v>6</v>
      </c>
      <c r="K619" s="1">
        <v>66</v>
      </c>
      <c r="L619" s="1">
        <v>347</v>
      </c>
      <c r="M619" s="1">
        <v>366</v>
      </c>
      <c r="N619" s="1" t="s">
        <v>6</v>
      </c>
      <c r="O619" s="1" t="s">
        <v>5842</v>
      </c>
      <c r="P619" s="3" t="str">
        <f>HYPERLINK("http://dx.doi.org/10.22199/issn.0718-1043-2020-0054","http://dx.doi.org/10.22199/issn.0718-1043-2020-0054")</f>
        <v>http://dx.doi.org/10.22199/issn.0718-1043-2020-0054</v>
      </c>
    </row>
    <row r="620" spans="1:16" ht="15.75" customHeight="1">
      <c r="A620" s="1" t="s">
        <v>0</v>
      </c>
      <c r="B620" s="1" t="s">
        <v>5582</v>
      </c>
      <c r="C620" s="1" t="s">
        <v>5583</v>
      </c>
      <c r="D620" s="1" t="s">
        <v>1364</v>
      </c>
      <c r="E620" s="1" t="s">
        <v>5584</v>
      </c>
      <c r="F620" s="1" t="s">
        <v>5585</v>
      </c>
      <c r="G620" s="1">
        <v>57</v>
      </c>
      <c r="H620" s="1">
        <v>0</v>
      </c>
      <c r="I620" s="1">
        <v>2020</v>
      </c>
      <c r="J620" s="1">
        <v>14</v>
      </c>
      <c r="K620" s="1">
        <v>26</v>
      </c>
      <c r="L620" s="1">
        <v>150</v>
      </c>
      <c r="M620" s="1">
        <v>178</v>
      </c>
      <c r="N620" s="1" t="s">
        <v>6</v>
      </c>
      <c r="O620" s="1" t="s">
        <v>5586</v>
      </c>
      <c r="P620" s="3" t="str">
        <f>HYPERLINK("http://dx.doi.org/10.31406/relap2020.v14.i1.n26.7","http://dx.doi.org/10.31406/relap2020.v14.i1.n26.7")</f>
        <v>http://dx.doi.org/10.31406/relap2020.v14.i1.n26.7</v>
      </c>
    </row>
    <row r="621" spans="1:16" ht="15.75" customHeight="1">
      <c r="A621" s="1" t="s">
        <v>0</v>
      </c>
      <c r="B621" s="1" t="s">
        <v>2025</v>
      </c>
      <c r="C621" s="1" t="s">
        <v>2026</v>
      </c>
      <c r="D621" s="1" t="s">
        <v>2027</v>
      </c>
      <c r="E621" s="1" t="s">
        <v>2028</v>
      </c>
      <c r="F621" s="1" t="s">
        <v>2029</v>
      </c>
      <c r="G621" s="1">
        <v>24</v>
      </c>
      <c r="H621" s="1">
        <v>0</v>
      </c>
      <c r="I621" s="1">
        <v>2020</v>
      </c>
      <c r="J621" s="1">
        <v>44</v>
      </c>
      <c r="K621" s="1" t="s">
        <v>6</v>
      </c>
      <c r="L621" s="1" t="s">
        <v>6</v>
      </c>
      <c r="M621" s="1" t="s">
        <v>6</v>
      </c>
      <c r="N621" s="1" t="s">
        <v>6</v>
      </c>
      <c r="O621" s="1" t="s">
        <v>6</v>
      </c>
      <c r="P621" s="1" t="s">
        <v>6</v>
      </c>
    </row>
    <row r="622" spans="1:16" ht="15.75" customHeight="1">
      <c r="A622" s="1" t="s">
        <v>0</v>
      </c>
      <c r="B622" s="1" t="s">
        <v>2020</v>
      </c>
      <c r="C622" s="1" t="s">
        <v>2021</v>
      </c>
      <c r="D622" s="1" t="s">
        <v>2022</v>
      </c>
      <c r="E622" s="1" t="s">
        <v>2023</v>
      </c>
      <c r="F622" s="1" t="s">
        <v>2024</v>
      </c>
      <c r="G622" s="1">
        <v>49</v>
      </c>
      <c r="H622" s="1">
        <v>0</v>
      </c>
      <c r="I622" s="1">
        <v>2020</v>
      </c>
      <c r="J622" s="1" t="s">
        <v>6</v>
      </c>
      <c r="K622" s="1">
        <v>77</v>
      </c>
      <c r="L622" s="1">
        <v>313</v>
      </c>
      <c r="M622" s="1">
        <v>337</v>
      </c>
      <c r="N622" s="1" t="s">
        <v>6</v>
      </c>
      <c r="O622" s="1" t="s">
        <v>6</v>
      </c>
      <c r="P622" s="1" t="s">
        <v>6</v>
      </c>
    </row>
    <row r="623" spans="1:16" ht="15.75" customHeight="1">
      <c r="A623" s="1" t="s">
        <v>0</v>
      </c>
      <c r="B623" s="1" t="s">
        <v>6401</v>
      </c>
      <c r="C623" s="1" t="s">
        <v>6402</v>
      </c>
      <c r="D623" s="1" t="s">
        <v>6403</v>
      </c>
      <c r="E623" s="1" t="s">
        <v>6404</v>
      </c>
      <c r="F623" s="1" t="s">
        <v>6405</v>
      </c>
      <c r="G623" s="1">
        <v>55</v>
      </c>
      <c r="H623" s="1">
        <v>0</v>
      </c>
      <c r="I623" s="1">
        <v>2020</v>
      </c>
      <c r="J623" s="1" t="s">
        <v>6</v>
      </c>
      <c r="K623" s="1">
        <v>190</v>
      </c>
      <c r="L623" s="1">
        <v>97</v>
      </c>
      <c r="M623" s="1">
        <v>127</v>
      </c>
      <c r="N623" s="1" t="s">
        <v>6</v>
      </c>
      <c r="O623" s="1" t="s">
        <v>6406</v>
      </c>
      <c r="P623" s="3" t="str">
        <f>HYPERLINK("http://dx.doi.org/10.18042/cepc/rep.190.04","http://dx.doi.org/10.18042/cepc/rep.190.04")</f>
        <v>http://dx.doi.org/10.18042/cepc/rep.190.04</v>
      </c>
    </row>
    <row r="624" spans="1:16" ht="15.75" customHeight="1">
      <c r="A624" s="1" t="s">
        <v>0</v>
      </c>
      <c r="B624" s="1" t="s">
        <v>5706</v>
      </c>
      <c r="C624" s="1" t="s">
        <v>5707</v>
      </c>
      <c r="D624" s="1" t="s">
        <v>5708</v>
      </c>
      <c r="E624" s="1" t="s">
        <v>5709</v>
      </c>
      <c r="F624" s="1" t="s">
        <v>5710</v>
      </c>
      <c r="G624" s="1">
        <v>33</v>
      </c>
      <c r="H624" s="1">
        <v>0</v>
      </c>
      <c r="I624" s="1">
        <v>2020</v>
      </c>
      <c r="J624" s="1">
        <v>59</v>
      </c>
      <c r="K624" s="1">
        <v>3</v>
      </c>
      <c r="L624" s="1">
        <v>92</v>
      </c>
      <c r="M624" s="1">
        <v>117</v>
      </c>
      <c r="N624" s="1" t="s">
        <v>6</v>
      </c>
      <c r="O624" s="1" t="s">
        <v>5711</v>
      </c>
      <c r="P624" s="3" t="str">
        <f>HYPERLINK("http://dx.doi.org/10.4151/07189729-Vol.59-Iss.3-Art.1038","http://dx.doi.org/10.4151/07189729-Vol.59-Iss.3-Art.1038")</f>
        <v>http://dx.doi.org/10.4151/07189729-Vol.59-Iss.3-Art.1038</v>
      </c>
    </row>
    <row r="625" spans="1:16" ht="15.75" customHeight="1">
      <c r="A625" s="1" t="s">
        <v>0</v>
      </c>
      <c r="B625" s="1" t="s">
        <v>152</v>
      </c>
      <c r="C625" s="1" t="s">
        <v>153</v>
      </c>
      <c r="D625" s="1" t="s">
        <v>154</v>
      </c>
      <c r="E625" s="1" t="s">
        <v>155</v>
      </c>
      <c r="F625" s="1" t="s">
        <v>156</v>
      </c>
      <c r="G625" s="1">
        <v>21</v>
      </c>
      <c r="H625" s="1">
        <v>0</v>
      </c>
      <c r="I625" s="1">
        <v>2020</v>
      </c>
      <c r="J625" s="1">
        <v>36</v>
      </c>
      <c r="K625" s="1">
        <v>1</v>
      </c>
      <c r="L625" s="1">
        <v>253</v>
      </c>
      <c r="M625" s="1">
        <v>271</v>
      </c>
      <c r="N625" s="1" t="s">
        <v>6</v>
      </c>
      <c r="O625" s="1" t="s">
        <v>157</v>
      </c>
      <c r="P625" s="3" t="str">
        <f>HYPERLINK("http://dx.doi.org/10.4067/S0718-23762021000100253","http://dx.doi.org/10.4067/S0718-23762021000100253")</f>
        <v>http://dx.doi.org/10.4067/S0718-23762021000100253</v>
      </c>
    </row>
    <row r="626" spans="1:16" ht="15.75" customHeight="1">
      <c r="A626" s="1" t="s">
        <v>0</v>
      </c>
      <c r="B626" s="1" t="s">
        <v>570</v>
      </c>
      <c r="C626" s="1" t="s">
        <v>571</v>
      </c>
      <c r="D626" s="1" t="s">
        <v>572</v>
      </c>
      <c r="E626" s="1" t="s">
        <v>573</v>
      </c>
      <c r="F626" s="1" t="s">
        <v>574</v>
      </c>
      <c r="G626" s="1">
        <v>30</v>
      </c>
      <c r="H626" s="1">
        <v>0</v>
      </c>
      <c r="I626" s="1">
        <v>2020</v>
      </c>
      <c r="J626" s="1">
        <v>47</v>
      </c>
      <c r="K626" s="1">
        <v>87</v>
      </c>
      <c r="L626" s="1">
        <v>5</v>
      </c>
      <c r="M626" s="1">
        <v>27</v>
      </c>
      <c r="N626" s="1" t="s">
        <v>6</v>
      </c>
      <c r="O626" s="1" t="s">
        <v>575</v>
      </c>
      <c r="P626" s="3" t="str">
        <f>HYPERLINK("http://dx.doi.org/10.21678/apuntes.87.1090","http://dx.doi.org/10.21678/apuntes.87.1090")</f>
        <v>http://dx.doi.org/10.21678/apuntes.87.1090</v>
      </c>
    </row>
    <row r="627" spans="1:16" ht="15.75" customHeight="1">
      <c r="A627" s="1" t="s">
        <v>0</v>
      </c>
      <c r="B627" s="1" t="s">
        <v>5317</v>
      </c>
      <c r="C627" s="1" t="s">
        <v>5318</v>
      </c>
      <c r="D627" s="1" t="s">
        <v>5319</v>
      </c>
      <c r="E627" s="1" t="s">
        <v>5320</v>
      </c>
      <c r="F627" s="1" t="s">
        <v>5321</v>
      </c>
      <c r="G627" s="1">
        <v>4</v>
      </c>
      <c r="H627" s="1">
        <v>0</v>
      </c>
      <c r="I627" s="1">
        <v>2020</v>
      </c>
      <c r="J627" s="1" t="s">
        <v>6</v>
      </c>
      <c r="K627" s="1">
        <v>37</v>
      </c>
      <c r="L627" s="1" t="s">
        <v>6</v>
      </c>
      <c r="M627" s="1" t="s">
        <v>6</v>
      </c>
      <c r="N627" s="1" t="s">
        <v>5322</v>
      </c>
      <c r="O627" s="1" t="s">
        <v>5323</v>
      </c>
      <c r="P627" s="3" t="str">
        <f>HYPERLINK("http://dx.doi.org/10.12957/geouerj.2020.53912","http://dx.doi.org/10.12957/geouerj.2020.53912")</f>
        <v>http://dx.doi.org/10.12957/geouerj.2020.53912</v>
      </c>
    </row>
    <row r="628" spans="1:16" ht="15.75" customHeight="1">
      <c r="A628" s="1" t="s">
        <v>0</v>
      </c>
      <c r="B628" s="1" t="s">
        <v>7003</v>
      </c>
      <c r="C628" s="1" t="s">
        <v>7004</v>
      </c>
      <c r="D628" s="1" t="s">
        <v>7005</v>
      </c>
      <c r="E628" s="1" t="s">
        <v>7006</v>
      </c>
      <c r="F628" s="1" t="s">
        <v>7007</v>
      </c>
      <c r="G628" s="1">
        <v>76</v>
      </c>
      <c r="H628" s="1">
        <v>0</v>
      </c>
      <c r="I628" s="1">
        <v>2020</v>
      </c>
      <c r="J628" s="1">
        <v>11</v>
      </c>
      <c r="K628" s="1">
        <v>1</v>
      </c>
      <c r="L628" s="1">
        <v>123</v>
      </c>
      <c r="M628" s="1">
        <v>152</v>
      </c>
      <c r="N628" s="1" t="s">
        <v>6</v>
      </c>
      <c r="O628" s="1" t="s">
        <v>7008</v>
      </c>
      <c r="P628" s="3" t="str">
        <f>HYPERLINK("http://dx.doi.org/10.21501/22161201.2978","http://dx.doi.org/10.21501/22161201.2978")</f>
        <v>http://dx.doi.org/10.21501/22161201.2978</v>
      </c>
    </row>
    <row r="629" spans="1:16" ht="15.75" customHeight="1">
      <c r="A629" s="1" t="s">
        <v>0</v>
      </c>
      <c r="B629" s="1" t="s">
        <v>3812</v>
      </c>
      <c r="C629" s="1" t="s">
        <v>3813</v>
      </c>
      <c r="D629" s="1" t="s">
        <v>3814</v>
      </c>
      <c r="E629" s="1" t="s">
        <v>3815</v>
      </c>
      <c r="F629" s="1" t="s">
        <v>3816</v>
      </c>
      <c r="G629" s="1">
        <v>27</v>
      </c>
      <c r="H629" s="1">
        <v>0</v>
      </c>
      <c r="I629" s="1">
        <v>2020</v>
      </c>
      <c r="J629" s="1">
        <v>10</v>
      </c>
      <c r="K629" s="1">
        <v>1</v>
      </c>
      <c r="L629" s="1">
        <v>8</v>
      </c>
      <c r="M629" s="1">
        <v>32</v>
      </c>
      <c r="N629" s="1" t="s">
        <v>6</v>
      </c>
      <c r="O629" s="1" t="s">
        <v>3817</v>
      </c>
      <c r="P629" s="3" t="str">
        <f>HYPERLINK("http://dx.doi.org/10.35004/raep.v10i1.180","http://dx.doi.org/10.35004/raep.v10i1.180")</f>
        <v>http://dx.doi.org/10.35004/raep.v10i1.180</v>
      </c>
    </row>
    <row r="630" spans="1:16" ht="15.75" customHeight="1">
      <c r="A630" s="1" t="s">
        <v>0</v>
      </c>
      <c r="B630" s="1" t="s">
        <v>6333</v>
      </c>
      <c r="C630" s="1" t="s">
        <v>6334</v>
      </c>
      <c r="D630" s="1" t="s">
        <v>6335</v>
      </c>
      <c r="E630" s="1" t="s">
        <v>6336</v>
      </c>
      <c r="F630" s="1" t="s">
        <v>6337</v>
      </c>
      <c r="G630" s="1">
        <v>41</v>
      </c>
      <c r="H630" s="1">
        <v>0</v>
      </c>
      <c r="I630" s="1">
        <v>2020</v>
      </c>
      <c r="J630" s="1" t="s">
        <v>6</v>
      </c>
      <c r="K630" s="1">
        <v>40</v>
      </c>
      <c r="L630" s="1">
        <v>97</v>
      </c>
      <c r="M630" s="1">
        <v>117</v>
      </c>
      <c r="N630" s="1" t="s">
        <v>6</v>
      </c>
      <c r="O630" s="1" t="s">
        <v>6338</v>
      </c>
      <c r="P630" s="3" t="str">
        <f>HYPERLINK("http://dx.doi.org/10.12795/rea.2020.i40.06","http://dx.doi.org/10.12795/rea.2020.i40.06")</f>
        <v>http://dx.doi.org/10.12795/rea.2020.i40.06</v>
      </c>
    </row>
    <row r="631" spans="1:16" ht="15.75" customHeight="1">
      <c r="A631" s="1" t="s">
        <v>0</v>
      </c>
      <c r="B631" s="1" t="s">
        <v>369</v>
      </c>
      <c r="C631" s="1" t="s">
        <v>370</v>
      </c>
      <c r="D631" s="1" t="s">
        <v>371</v>
      </c>
      <c r="E631" s="1" t="s">
        <v>372</v>
      </c>
      <c r="F631" s="1" t="s">
        <v>373</v>
      </c>
      <c r="G631" s="1">
        <v>71</v>
      </c>
      <c r="H631" s="1">
        <v>0</v>
      </c>
      <c r="I631" s="1">
        <v>2020</v>
      </c>
      <c r="J631" s="1">
        <v>10</v>
      </c>
      <c r="K631" s="1">
        <v>1</v>
      </c>
      <c r="L631" s="1">
        <v>33</v>
      </c>
      <c r="M631" s="1">
        <v>72</v>
      </c>
      <c r="N631" s="1" t="s">
        <v>6</v>
      </c>
      <c r="O631" s="1" t="s">
        <v>6</v>
      </c>
      <c r="P631" s="1" t="s">
        <v>6</v>
      </c>
    </row>
    <row r="632" spans="1:16" ht="15.75" customHeight="1">
      <c r="A632" s="1" t="s">
        <v>0</v>
      </c>
      <c r="B632" s="1" t="s">
        <v>3128</v>
      </c>
      <c r="C632" s="1" t="s">
        <v>3129</v>
      </c>
      <c r="D632" s="1" t="s">
        <v>3130</v>
      </c>
      <c r="E632" s="1" t="s">
        <v>3131</v>
      </c>
      <c r="F632" s="1" t="s">
        <v>3132</v>
      </c>
      <c r="G632" s="1">
        <v>111</v>
      </c>
      <c r="H632" s="1">
        <v>74</v>
      </c>
      <c r="I632" s="1">
        <v>2021</v>
      </c>
      <c r="J632" s="1">
        <v>24</v>
      </c>
      <c r="K632" s="1" t="s">
        <v>6</v>
      </c>
      <c r="L632" s="1">
        <v>25</v>
      </c>
      <c r="M632" s="1">
        <v>33</v>
      </c>
      <c r="N632" s="1" t="s">
        <v>6</v>
      </c>
      <c r="O632" s="1" t="s">
        <v>3133</v>
      </c>
      <c r="P632" s="3" t="str">
        <f>HYPERLINK("http://dx.doi.org/10.1080/13696998.2021.2007691","http://dx.doi.org/10.1080/13696998.2021.2007691")</f>
        <v>http://dx.doi.org/10.1080/13696998.2021.2007691</v>
      </c>
    </row>
    <row r="633" spans="1:16" ht="15.75" customHeight="1">
      <c r="A633" s="1" t="s">
        <v>0</v>
      </c>
      <c r="B633" s="1" t="s">
        <v>3625</v>
      </c>
      <c r="C633" s="1" t="s">
        <v>3626</v>
      </c>
      <c r="D633" s="1" t="s">
        <v>3627</v>
      </c>
      <c r="E633" s="1" t="s">
        <v>3628</v>
      </c>
      <c r="F633" s="1" t="s">
        <v>3629</v>
      </c>
      <c r="G633" s="1">
        <v>96</v>
      </c>
      <c r="H633" s="1">
        <v>43</v>
      </c>
      <c r="I633" s="1">
        <v>2021</v>
      </c>
      <c r="J633" s="1">
        <v>77</v>
      </c>
      <c r="K633" s="1">
        <v>1</v>
      </c>
      <c r="L633" s="1" t="s">
        <v>6</v>
      </c>
      <c r="M633" s="1" t="s">
        <v>6</v>
      </c>
      <c r="N633" s="1">
        <v>30</v>
      </c>
      <c r="O633" s="1" t="s">
        <v>3630</v>
      </c>
      <c r="P633" s="3" t="str">
        <f>HYPERLINK("http://dx.doi.org/10.1186/s41118-021-00139-1","http://dx.doi.org/10.1186/s41118-021-00139-1")</f>
        <v>http://dx.doi.org/10.1186/s41118-021-00139-1</v>
      </c>
    </row>
    <row r="634" spans="1:16" ht="15.75" customHeight="1">
      <c r="A634" s="1" t="s">
        <v>10</v>
      </c>
      <c r="B634" s="1" t="s">
        <v>3224</v>
      </c>
      <c r="C634" s="1" t="s">
        <v>3225</v>
      </c>
      <c r="D634" s="1" t="s">
        <v>706</v>
      </c>
      <c r="E634" s="1" t="s">
        <v>3226</v>
      </c>
      <c r="F634" s="1" t="s">
        <v>3227</v>
      </c>
      <c r="H634" s="1">
        <v>32</v>
      </c>
      <c r="I634" s="1">
        <v>2021</v>
      </c>
      <c r="J634" s="1">
        <v>58</v>
      </c>
      <c r="K634" s="1">
        <v>3</v>
      </c>
      <c r="O634" s="1" t="s">
        <v>3228</v>
      </c>
    </row>
    <row r="635" spans="1:16" ht="15.75" customHeight="1">
      <c r="A635" s="1" t="s">
        <v>0</v>
      </c>
      <c r="B635" s="1" t="s">
        <v>531</v>
      </c>
      <c r="C635" s="1" t="s">
        <v>532</v>
      </c>
      <c r="D635" s="1" t="s">
        <v>533</v>
      </c>
      <c r="E635" s="1" t="s">
        <v>534</v>
      </c>
      <c r="F635" s="1" t="s">
        <v>535</v>
      </c>
      <c r="G635" s="1">
        <v>63</v>
      </c>
      <c r="H635" s="1">
        <v>31</v>
      </c>
      <c r="I635" s="1">
        <v>2021</v>
      </c>
      <c r="J635" s="1">
        <v>56</v>
      </c>
      <c r="K635" s="1">
        <v>3</v>
      </c>
      <c r="L635" s="1">
        <v>963</v>
      </c>
      <c r="M635" s="1">
        <v>983</v>
      </c>
      <c r="N635" s="1" t="s">
        <v>6</v>
      </c>
      <c r="O635" s="1" t="s">
        <v>536</v>
      </c>
      <c r="P635" s="3" t="str">
        <f>HYPERLINK("http://dx.doi.org/10.1007/s11187-019-00312-z","http://dx.doi.org/10.1007/s11187-019-00312-z")</f>
        <v>http://dx.doi.org/10.1007/s11187-019-00312-z</v>
      </c>
    </row>
    <row r="636" spans="1:16" ht="15.75" customHeight="1">
      <c r="A636" s="1" t="s">
        <v>10</v>
      </c>
      <c r="B636" s="1" t="s">
        <v>5729</v>
      </c>
      <c r="C636" s="1" t="s">
        <v>5730</v>
      </c>
      <c r="D636" s="1" t="s">
        <v>5731</v>
      </c>
      <c r="E636" s="1" t="s">
        <v>5732</v>
      </c>
      <c r="F636" s="1" t="s">
        <v>5733</v>
      </c>
      <c r="H636" s="1">
        <v>27</v>
      </c>
      <c r="I636" s="1">
        <v>2021</v>
      </c>
      <c r="J636" s="1">
        <v>3</v>
      </c>
      <c r="K636" s="1">
        <v>12</v>
      </c>
      <c r="O636" s="1" t="s">
        <v>5734</v>
      </c>
    </row>
    <row r="637" spans="1:16" ht="15.75" customHeight="1">
      <c r="A637" s="1" t="s">
        <v>0</v>
      </c>
      <c r="B637" s="1" t="s">
        <v>801</v>
      </c>
      <c r="C637" s="1" t="s">
        <v>802</v>
      </c>
      <c r="D637" s="1" t="s">
        <v>803</v>
      </c>
      <c r="E637" s="1" t="s">
        <v>804</v>
      </c>
      <c r="F637" s="1" t="s">
        <v>805</v>
      </c>
      <c r="G637" s="1">
        <v>44</v>
      </c>
      <c r="H637" s="1">
        <v>26</v>
      </c>
      <c r="I637" s="1">
        <v>2021</v>
      </c>
      <c r="J637" s="1">
        <v>31</v>
      </c>
      <c r="K637" s="1">
        <v>1</v>
      </c>
      <c r="L637" s="1">
        <v>167</v>
      </c>
      <c r="M637" s="1">
        <v>181</v>
      </c>
      <c r="N637" s="1" t="s">
        <v>6</v>
      </c>
      <c r="O637" s="1" t="s">
        <v>806</v>
      </c>
      <c r="P637" s="3" t="str">
        <f>HYPERLINK("http://dx.doi.org/10.15446/bitacora.v31n1.88180","http://dx.doi.org/10.15446/bitacora.v31n1.88180")</f>
        <v>http://dx.doi.org/10.15446/bitacora.v31n1.88180</v>
      </c>
    </row>
    <row r="638" spans="1:16" ht="15.75" customHeight="1">
      <c r="A638" s="1" t="s">
        <v>0</v>
      </c>
      <c r="B638" s="1" t="s">
        <v>4802</v>
      </c>
      <c r="C638" s="1" t="s">
        <v>4803</v>
      </c>
      <c r="D638" s="1" t="s">
        <v>4804</v>
      </c>
      <c r="E638" s="1" t="s">
        <v>4805</v>
      </c>
      <c r="F638" s="1" t="s">
        <v>4806</v>
      </c>
      <c r="G638" s="1">
        <v>77</v>
      </c>
      <c r="H638" s="1">
        <v>23</v>
      </c>
      <c r="I638" s="1">
        <v>2021</v>
      </c>
      <c r="J638" s="1">
        <v>106</v>
      </c>
      <c r="K638" s="1" t="s">
        <v>6</v>
      </c>
      <c r="L638" s="1">
        <v>89</v>
      </c>
      <c r="M638" s="1">
        <v>114</v>
      </c>
      <c r="N638" s="1" t="s">
        <v>6</v>
      </c>
      <c r="O638" s="1" t="s">
        <v>4807</v>
      </c>
      <c r="P638" s="3" t="str">
        <f>HYPERLINK("http://dx.doi.org/10.7440/colombiaint106.2021.04","http://dx.doi.org/10.7440/colombiaint106.2021.04")</f>
        <v>http://dx.doi.org/10.7440/colombiaint106.2021.04</v>
      </c>
    </row>
    <row r="639" spans="1:16" ht="15.75" customHeight="1">
      <c r="A639" s="1" t="s">
        <v>0</v>
      </c>
      <c r="B639" s="1" t="s">
        <v>6768</v>
      </c>
      <c r="C639" s="1" t="s">
        <v>6769</v>
      </c>
      <c r="D639" s="1" t="s">
        <v>6770</v>
      </c>
      <c r="E639" s="1" t="s">
        <v>6771</v>
      </c>
      <c r="F639" s="1" t="s">
        <v>6772</v>
      </c>
      <c r="G639" s="1">
        <v>55</v>
      </c>
      <c r="H639" s="1">
        <v>21</v>
      </c>
      <c r="I639" s="1">
        <v>2021</v>
      </c>
      <c r="J639" s="1">
        <v>9</v>
      </c>
      <c r="K639" s="1">
        <v>1</v>
      </c>
      <c r="L639" s="1" t="s">
        <v>6</v>
      </c>
      <c r="M639" s="1" t="s">
        <v>6</v>
      </c>
      <c r="N639" s="1">
        <v>52</v>
      </c>
      <c r="O639" s="1" t="s">
        <v>6773</v>
      </c>
      <c r="P639" s="3" t="str">
        <f>HYPERLINK("http://dx.doi.org/10.1186/s40878-021-00265-x","http://dx.doi.org/10.1186/s40878-021-00265-x")</f>
        <v>http://dx.doi.org/10.1186/s40878-021-00265-x</v>
      </c>
    </row>
    <row r="640" spans="1:16" ht="15.75" customHeight="1">
      <c r="A640" s="1" t="s">
        <v>0</v>
      </c>
      <c r="B640" s="1" t="s">
        <v>1272</v>
      </c>
      <c r="C640" s="1" t="s">
        <v>1273</v>
      </c>
      <c r="D640" s="1" t="s">
        <v>1146</v>
      </c>
      <c r="E640" s="1" t="s">
        <v>1274</v>
      </c>
      <c r="F640" s="1" t="s">
        <v>1275</v>
      </c>
      <c r="G640" s="1">
        <v>91</v>
      </c>
      <c r="H640" s="1">
        <v>20</v>
      </c>
      <c r="I640" s="1">
        <v>2021</v>
      </c>
      <c r="J640" s="1">
        <v>11</v>
      </c>
      <c r="K640" s="1" t="s">
        <v>6</v>
      </c>
      <c r="L640" s="1" t="s">
        <v>6</v>
      </c>
      <c r="M640" s="1" t="s">
        <v>6</v>
      </c>
      <c r="N640" s="1">
        <v>620782</v>
      </c>
      <c r="O640" s="1" t="s">
        <v>1276</v>
      </c>
      <c r="P640" s="3" t="str">
        <f>HYPERLINK("http://dx.doi.org/10.3389/fpsyg.2020.620782","http://dx.doi.org/10.3389/fpsyg.2020.620782")</f>
        <v>http://dx.doi.org/10.3389/fpsyg.2020.620782</v>
      </c>
    </row>
    <row r="641" spans="1:16" ht="15.75" customHeight="1">
      <c r="A641" s="1" t="s">
        <v>0</v>
      </c>
      <c r="B641" s="1" t="s">
        <v>6736</v>
      </c>
      <c r="C641" s="1" t="s">
        <v>6737</v>
      </c>
      <c r="D641" s="1" t="s">
        <v>4804</v>
      </c>
      <c r="E641" s="1" t="s">
        <v>6738</v>
      </c>
      <c r="F641" s="1" t="s">
        <v>6739</v>
      </c>
      <c r="G641" s="1">
        <v>51</v>
      </c>
      <c r="H641" s="1">
        <v>16</v>
      </c>
      <c r="I641" s="1">
        <v>2021</v>
      </c>
      <c r="J641" s="1">
        <v>106</v>
      </c>
      <c r="K641" s="1" t="s">
        <v>6</v>
      </c>
      <c r="L641" s="1">
        <v>57</v>
      </c>
      <c r="M641" s="1">
        <v>87</v>
      </c>
      <c r="N641" s="1" t="s">
        <v>6</v>
      </c>
      <c r="O641" s="1" t="s">
        <v>6740</v>
      </c>
      <c r="P641" s="3" t="str">
        <f>HYPERLINK("http://dx.doi.org/10.7440/colombiaint106.2021.03","http://dx.doi.org/10.7440/colombiaint106.2021.03")</f>
        <v>http://dx.doi.org/10.7440/colombiaint106.2021.03</v>
      </c>
    </row>
    <row r="642" spans="1:16" ht="15.75" customHeight="1">
      <c r="A642" s="1" t="s">
        <v>31</v>
      </c>
      <c r="B642" s="1" t="s">
        <v>5256</v>
      </c>
      <c r="C642" s="1" t="s">
        <v>5257</v>
      </c>
      <c r="D642" s="1" t="s">
        <v>5258</v>
      </c>
      <c r="E642" s="1" t="s">
        <v>5259</v>
      </c>
      <c r="F642" s="1" t="s">
        <v>5260</v>
      </c>
      <c r="H642" s="1">
        <v>14</v>
      </c>
      <c r="I642" s="1">
        <v>2021</v>
      </c>
      <c r="O642" s="1" t="s">
        <v>5261</v>
      </c>
    </row>
    <row r="643" spans="1:16" ht="15.75" customHeight="1">
      <c r="A643" s="1" t="s">
        <v>0</v>
      </c>
      <c r="B643" s="1" t="s">
        <v>915</v>
      </c>
      <c r="C643" s="1" t="s">
        <v>916</v>
      </c>
      <c r="D643" s="1" t="s">
        <v>490</v>
      </c>
      <c r="E643" s="1" t="s">
        <v>917</v>
      </c>
      <c r="F643" s="1" t="s">
        <v>918</v>
      </c>
      <c r="G643" s="1">
        <v>99</v>
      </c>
      <c r="H643" s="1">
        <v>13</v>
      </c>
      <c r="I643" s="1">
        <v>2021</v>
      </c>
      <c r="J643" s="1">
        <v>14</v>
      </c>
      <c r="K643" s="1">
        <v>1</v>
      </c>
      <c r="L643" s="1">
        <v>321</v>
      </c>
      <c r="M643" s="1">
        <v>340</v>
      </c>
      <c r="N643" s="1" t="s">
        <v>6</v>
      </c>
      <c r="O643" s="1" t="s">
        <v>919</v>
      </c>
      <c r="P643" s="3" t="str">
        <f>HYPERLINK("http://dx.doi.org/10.1285/i20356609v14i1p321","http://dx.doi.org/10.1285/i20356609v14i1p321")</f>
        <v>http://dx.doi.org/10.1285/i20356609v14i1p321</v>
      </c>
    </row>
    <row r="644" spans="1:16" ht="15.75" customHeight="1">
      <c r="A644" s="1" t="s">
        <v>10</v>
      </c>
      <c r="B644" s="1" t="s">
        <v>6457</v>
      </c>
      <c r="C644" s="1" t="s">
        <v>6458</v>
      </c>
      <c r="D644" s="1" t="s">
        <v>88</v>
      </c>
      <c r="E644" s="1" t="s">
        <v>6459</v>
      </c>
      <c r="F644" s="1" t="s">
        <v>6460</v>
      </c>
      <c r="H644" s="1">
        <v>13</v>
      </c>
      <c r="I644" s="1">
        <v>2021</v>
      </c>
      <c r="J644" s="1">
        <v>145</v>
      </c>
      <c r="O644" s="1" t="s">
        <v>6461</v>
      </c>
    </row>
    <row r="645" spans="1:16" s="11" customFormat="1" ht="15.75" customHeight="1">
      <c r="A645" s="10" t="s">
        <v>0</v>
      </c>
      <c r="B645" s="10" t="s">
        <v>2674</v>
      </c>
      <c r="C645" s="10" t="s">
        <v>2675</v>
      </c>
      <c r="D645" s="10" t="s">
        <v>2676</v>
      </c>
      <c r="E645" s="10" t="s">
        <v>2677</v>
      </c>
      <c r="F645" s="10" t="s">
        <v>2678</v>
      </c>
      <c r="G645" s="10">
        <v>98</v>
      </c>
      <c r="H645" s="10">
        <v>13</v>
      </c>
      <c r="I645" s="10">
        <v>2021</v>
      </c>
      <c r="J645" s="10">
        <v>17</v>
      </c>
      <c r="K645" s="10">
        <v>2</v>
      </c>
      <c r="L645" s="10">
        <v>527</v>
      </c>
      <c r="M645" s="10">
        <v>548</v>
      </c>
      <c r="N645" s="10" t="s">
        <v>6</v>
      </c>
      <c r="O645" s="10" t="s">
        <v>2679</v>
      </c>
      <c r="P645" s="12" t="str">
        <f>HYPERLINK("http://dx.doi.org/10.1007/s11365-020-00714-6","http://dx.doi.org/10.1007/s11365-020-00714-6")</f>
        <v>http://dx.doi.org/10.1007/s11365-020-00714-6</v>
      </c>
    </row>
    <row r="646" spans="1:16" ht="15.75" customHeight="1">
      <c r="A646" s="1" t="s">
        <v>10</v>
      </c>
      <c r="B646" s="1" t="s">
        <v>3935</v>
      </c>
      <c r="C646" s="1" t="s">
        <v>3936</v>
      </c>
      <c r="D646" s="1" t="s">
        <v>452</v>
      </c>
      <c r="E646" s="1" t="s">
        <v>3937</v>
      </c>
      <c r="F646" s="1" t="s">
        <v>3938</v>
      </c>
      <c r="H646" s="1">
        <v>10</v>
      </c>
      <c r="I646" s="1">
        <v>2021</v>
      </c>
      <c r="J646" s="1">
        <v>70</v>
      </c>
      <c r="O646" s="1" t="s">
        <v>3939</v>
      </c>
    </row>
    <row r="647" spans="1:16" ht="15.75" customHeight="1">
      <c r="A647" s="1" t="s">
        <v>0</v>
      </c>
      <c r="B647" s="1" t="s">
        <v>3010</v>
      </c>
      <c r="C647" s="1" t="s">
        <v>3011</v>
      </c>
      <c r="D647" s="1" t="s">
        <v>3012</v>
      </c>
      <c r="E647" s="1" t="s">
        <v>3013</v>
      </c>
      <c r="F647" s="1" t="s">
        <v>3014</v>
      </c>
      <c r="G647" s="1">
        <v>35</v>
      </c>
      <c r="H647" s="1">
        <v>10</v>
      </c>
      <c r="I647" s="1">
        <v>2021</v>
      </c>
      <c r="J647" s="1">
        <v>157</v>
      </c>
      <c r="K647" s="1" t="s">
        <v>6</v>
      </c>
      <c r="L647" s="1" t="s">
        <v>6</v>
      </c>
      <c r="M647" s="1" t="s">
        <v>6</v>
      </c>
      <c r="N647" s="1">
        <v>105006</v>
      </c>
      <c r="O647" s="1" t="s">
        <v>3015</v>
      </c>
      <c r="P647" s="3" t="str">
        <f>HYPERLINK("http://dx.doi.org/10.1016/j.appet.2020.105006","http://dx.doi.org/10.1016/j.appet.2020.105006")</f>
        <v>http://dx.doi.org/10.1016/j.appet.2020.105006</v>
      </c>
    </row>
    <row r="648" spans="1:16" ht="15.75" customHeight="1">
      <c r="A648" s="1" t="s">
        <v>0</v>
      </c>
      <c r="B648" s="1" t="s">
        <v>4042</v>
      </c>
      <c r="C648" s="1" t="s">
        <v>4043</v>
      </c>
      <c r="D648" s="1" t="s">
        <v>4044</v>
      </c>
      <c r="E648" s="1" t="s">
        <v>4045</v>
      </c>
      <c r="F648" s="1" t="s">
        <v>4046</v>
      </c>
      <c r="G648" s="1">
        <v>118</v>
      </c>
      <c r="H648" s="1">
        <v>10</v>
      </c>
      <c r="I648" s="1">
        <v>2021</v>
      </c>
      <c r="J648" s="1">
        <v>11</v>
      </c>
      <c r="K648" s="1">
        <v>1</v>
      </c>
      <c r="L648" s="1" t="s">
        <v>6</v>
      </c>
      <c r="M648" s="1" t="s">
        <v>6</v>
      </c>
      <c r="N648" s="1">
        <v>2158244020988526</v>
      </c>
      <c r="O648" s="1" t="s">
        <v>4047</v>
      </c>
      <c r="P648" s="3" t="str">
        <f>HYPERLINK("http://dx.doi.org/10.1177/2158244020988526","http://dx.doi.org/10.1177/2158244020988526")</f>
        <v>http://dx.doi.org/10.1177/2158244020988526</v>
      </c>
    </row>
    <row r="649" spans="1:16" ht="15.75" customHeight="1">
      <c r="A649" s="1" t="s">
        <v>10</v>
      </c>
      <c r="B649" s="1" t="s">
        <v>4808</v>
      </c>
      <c r="C649" s="1" t="s">
        <v>4809</v>
      </c>
      <c r="D649" s="1" t="s">
        <v>4810</v>
      </c>
      <c r="E649" s="1" t="s">
        <v>4811</v>
      </c>
      <c r="F649" s="1" t="s">
        <v>4812</v>
      </c>
      <c r="H649" s="1">
        <v>9</v>
      </c>
      <c r="I649" s="1">
        <v>2021</v>
      </c>
      <c r="J649" s="1">
        <v>31</v>
      </c>
      <c r="K649" s="1">
        <v>4</v>
      </c>
      <c r="O649" s="1" t="s">
        <v>4813</v>
      </c>
    </row>
    <row r="650" spans="1:16" ht="15.75" customHeight="1">
      <c r="A650" s="1" t="s">
        <v>0</v>
      </c>
      <c r="B650" s="1" t="s">
        <v>4030</v>
      </c>
      <c r="C650" s="1" t="s">
        <v>4031</v>
      </c>
      <c r="D650" s="1" t="s">
        <v>4032</v>
      </c>
      <c r="E650" s="1" t="s">
        <v>4033</v>
      </c>
      <c r="F650" s="1" t="s">
        <v>4034</v>
      </c>
      <c r="G650" s="1">
        <v>84</v>
      </c>
      <c r="H650" s="1">
        <v>8</v>
      </c>
      <c r="I650" s="1">
        <v>2021</v>
      </c>
      <c r="J650" s="1">
        <v>67</v>
      </c>
      <c r="K650" s="1" t="s">
        <v>820</v>
      </c>
      <c r="L650" s="1">
        <v>456</v>
      </c>
      <c r="M650" s="1">
        <v>469</v>
      </c>
      <c r="N650" s="1" t="s">
        <v>6</v>
      </c>
      <c r="O650" s="1" t="s">
        <v>4035</v>
      </c>
      <c r="P650" s="3" t="str">
        <f>HYPERLINK("http://dx.doi.org/10.1002/ajcp.12472","http://dx.doi.org/10.1002/ajcp.12472")</f>
        <v>http://dx.doi.org/10.1002/ajcp.12472</v>
      </c>
    </row>
    <row r="651" spans="1:16" ht="15.75" customHeight="1">
      <c r="A651" s="1" t="s">
        <v>10</v>
      </c>
      <c r="B651" s="1" t="s">
        <v>2465</v>
      </c>
      <c r="C651" s="1" t="s">
        <v>2466</v>
      </c>
      <c r="D651" s="1" t="s">
        <v>2467</v>
      </c>
      <c r="E651" s="1" t="s">
        <v>2468</v>
      </c>
      <c r="F651" s="1" t="s">
        <v>2469</v>
      </c>
      <c r="H651" s="1">
        <v>8</v>
      </c>
      <c r="I651" s="1">
        <v>2021</v>
      </c>
      <c r="J651" s="1">
        <v>21</v>
      </c>
      <c r="K651" s="1">
        <v>2</v>
      </c>
      <c r="O651" s="1" t="s">
        <v>2470</v>
      </c>
    </row>
    <row r="652" spans="1:16" ht="15.75" customHeight="1">
      <c r="A652" s="1" t="s">
        <v>0</v>
      </c>
      <c r="B652" s="1" t="s">
        <v>6504</v>
      </c>
      <c r="C652" s="1" t="s">
        <v>6505</v>
      </c>
      <c r="D652" s="1" t="s">
        <v>6506</v>
      </c>
      <c r="E652" s="1" t="s">
        <v>6507</v>
      </c>
      <c r="F652" s="1" t="s">
        <v>6508</v>
      </c>
      <c r="G652" s="1">
        <v>99</v>
      </c>
      <c r="H652" s="1">
        <v>8</v>
      </c>
      <c r="I652" s="1">
        <v>2021</v>
      </c>
      <c r="J652" s="1">
        <v>37</v>
      </c>
      <c r="K652" s="1">
        <v>2</v>
      </c>
      <c r="L652" s="1">
        <v>297</v>
      </c>
      <c r="M652" s="1">
        <v>339</v>
      </c>
      <c r="N652" s="1" t="s">
        <v>6</v>
      </c>
      <c r="O652" s="1" t="s">
        <v>6509</v>
      </c>
      <c r="P652" s="3" t="str">
        <f>HYPERLINK("http://dx.doi.org/10.1007/s10680-020-09569-7","http://dx.doi.org/10.1007/s10680-020-09569-7")</f>
        <v>http://dx.doi.org/10.1007/s10680-020-09569-7</v>
      </c>
    </row>
    <row r="653" spans="1:16" ht="15.75" customHeight="1">
      <c r="A653" s="1" t="s">
        <v>10</v>
      </c>
      <c r="B653" s="1" t="s">
        <v>2332</v>
      </c>
      <c r="C653" s="1" t="s">
        <v>2333</v>
      </c>
      <c r="D653" s="1" t="s">
        <v>858</v>
      </c>
      <c r="E653" s="1" t="s">
        <v>2334</v>
      </c>
      <c r="F653" s="1" t="s">
        <v>2335</v>
      </c>
      <c r="H653" s="1">
        <v>7</v>
      </c>
      <c r="I653" s="1">
        <v>2021</v>
      </c>
      <c r="J653" s="1">
        <v>40</v>
      </c>
      <c r="K653" s="1">
        <v>2</v>
      </c>
      <c r="O653" s="1" t="s">
        <v>2336</v>
      </c>
    </row>
    <row r="654" spans="1:16" ht="15.75" customHeight="1">
      <c r="A654" s="1" t="s">
        <v>10</v>
      </c>
      <c r="B654" s="1" t="s">
        <v>1031</v>
      </c>
      <c r="C654" s="1" t="s">
        <v>1032</v>
      </c>
      <c r="D654" s="1" t="s">
        <v>1033</v>
      </c>
      <c r="E654" s="1" t="s">
        <v>1034</v>
      </c>
      <c r="F654" s="1" t="s">
        <v>1035</v>
      </c>
      <c r="H654" s="1">
        <v>7</v>
      </c>
      <c r="I654" s="1">
        <v>2021</v>
      </c>
      <c r="J654" s="1">
        <v>120</v>
      </c>
      <c r="O654" s="1" t="s">
        <v>1036</v>
      </c>
    </row>
    <row r="655" spans="1:16" ht="15.75" customHeight="1">
      <c r="A655" s="1" t="s">
        <v>10</v>
      </c>
      <c r="B655" s="1" t="s">
        <v>1730</v>
      </c>
      <c r="C655" s="1" t="s">
        <v>1731</v>
      </c>
      <c r="D655" s="1" t="s">
        <v>727</v>
      </c>
      <c r="E655" s="1" t="s">
        <v>1732</v>
      </c>
      <c r="F655" s="1" t="s">
        <v>1733</v>
      </c>
      <c r="H655" s="1">
        <v>7</v>
      </c>
      <c r="I655" s="1">
        <v>2021</v>
      </c>
      <c r="J655" s="1">
        <v>27</v>
      </c>
      <c r="K655" s="1">
        <v>4</v>
      </c>
      <c r="O655" s="1" t="s">
        <v>1734</v>
      </c>
    </row>
    <row r="656" spans="1:16" ht="15.75" customHeight="1">
      <c r="A656" s="1" t="s">
        <v>10</v>
      </c>
      <c r="B656" s="1" t="s">
        <v>5222</v>
      </c>
      <c r="C656" s="1" t="s">
        <v>5223</v>
      </c>
      <c r="D656" s="1" t="s">
        <v>452</v>
      </c>
      <c r="E656" s="1" t="s">
        <v>5224</v>
      </c>
      <c r="F656" s="1" t="s">
        <v>5225</v>
      </c>
      <c r="H656" s="1">
        <v>7</v>
      </c>
      <c r="I656" s="1">
        <v>2021</v>
      </c>
      <c r="J656" s="1">
        <v>70</v>
      </c>
      <c r="O656" s="1" t="s">
        <v>5226</v>
      </c>
    </row>
    <row r="657" spans="1:16" ht="15.75" customHeight="1">
      <c r="A657" s="1" t="s">
        <v>10</v>
      </c>
      <c r="B657" s="1" t="s">
        <v>1138</v>
      </c>
      <c r="C657" s="1" t="s">
        <v>1139</v>
      </c>
      <c r="D657" s="1" t="s">
        <v>1140</v>
      </c>
      <c r="E657" s="1" t="s">
        <v>1141</v>
      </c>
      <c r="F657" s="1" t="s">
        <v>1142</v>
      </c>
      <c r="H657" s="1">
        <v>7</v>
      </c>
      <c r="I657" s="1">
        <v>2021</v>
      </c>
      <c r="J657" s="1">
        <v>43</v>
      </c>
      <c r="O657" s="1" t="s">
        <v>1143</v>
      </c>
    </row>
    <row r="658" spans="1:16" ht="15.75" customHeight="1">
      <c r="A658" s="1" t="s">
        <v>10</v>
      </c>
      <c r="B658" s="1" t="s">
        <v>6774</v>
      </c>
      <c r="C658" s="1" t="s">
        <v>6775</v>
      </c>
      <c r="D658" s="1" t="s">
        <v>6776</v>
      </c>
      <c r="E658" s="1" t="s">
        <v>6777</v>
      </c>
      <c r="F658" s="1" t="s">
        <v>6778</v>
      </c>
      <c r="H658" s="1">
        <v>7</v>
      </c>
      <c r="I658" s="1">
        <v>2021</v>
      </c>
      <c r="J658" s="1">
        <v>46</v>
      </c>
      <c r="K658" s="1">
        <v>3</v>
      </c>
      <c r="O658" s="1" t="s">
        <v>6779</v>
      </c>
    </row>
    <row r="659" spans="1:16" ht="15.75" customHeight="1">
      <c r="A659" s="1" t="s">
        <v>0</v>
      </c>
      <c r="B659" s="1" t="s">
        <v>2298</v>
      </c>
      <c r="C659" s="1" t="s">
        <v>2299</v>
      </c>
      <c r="D659" s="1" t="s">
        <v>2300</v>
      </c>
      <c r="E659" s="1" t="s">
        <v>2301</v>
      </c>
      <c r="F659" s="1" t="s">
        <v>2302</v>
      </c>
      <c r="G659" s="1">
        <v>64</v>
      </c>
      <c r="H659" s="1">
        <v>7</v>
      </c>
      <c r="I659" s="1">
        <v>2021</v>
      </c>
      <c r="J659" s="1">
        <v>3</v>
      </c>
      <c r="K659" s="1" t="s">
        <v>6</v>
      </c>
      <c r="L659" s="1" t="s">
        <v>6</v>
      </c>
      <c r="M659" s="1" t="s">
        <v>6</v>
      </c>
      <c r="N659" s="1">
        <v>606871</v>
      </c>
      <c r="O659" s="1" t="s">
        <v>2303</v>
      </c>
      <c r="P659" s="3" t="str">
        <f>HYPERLINK("http://dx.doi.org/10.3389/fhumd.2021.606871","http://dx.doi.org/10.3389/fhumd.2021.606871")</f>
        <v>http://dx.doi.org/10.3389/fhumd.2021.606871</v>
      </c>
    </row>
    <row r="660" spans="1:16" ht="15.75" customHeight="1">
      <c r="A660" s="1" t="s">
        <v>0</v>
      </c>
      <c r="B660" s="1" t="s">
        <v>730</v>
      </c>
      <c r="C660" s="1" t="s">
        <v>731</v>
      </c>
      <c r="D660" s="1" t="s">
        <v>732</v>
      </c>
      <c r="E660" s="1" t="s">
        <v>733</v>
      </c>
      <c r="F660" s="1" t="s">
        <v>734</v>
      </c>
      <c r="G660" s="1">
        <v>25</v>
      </c>
      <c r="H660" s="1">
        <v>7</v>
      </c>
      <c r="I660" s="1">
        <v>2021</v>
      </c>
      <c r="J660" s="1">
        <v>29</v>
      </c>
      <c r="K660" s="1" t="s">
        <v>735</v>
      </c>
      <c r="O660" s="1" t="s">
        <v>736</v>
      </c>
    </row>
    <row r="661" spans="1:16" ht="15.75" customHeight="1">
      <c r="A661" s="1" t="s">
        <v>0</v>
      </c>
      <c r="B661" s="1" t="s">
        <v>6677</v>
      </c>
      <c r="C661" s="1" t="s">
        <v>6678</v>
      </c>
      <c r="D661" s="1" t="s">
        <v>2339</v>
      </c>
      <c r="E661" s="1" t="s">
        <v>6679</v>
      </c>
      <c r="F661" s="1" t="s">
        <v>6680</v>
      </c>
      <c r="G661" s="1">
        <v>78</v>
      </c>
      <c r="H661" s="1">
        <v>7</v>
      </c>
      <c r="I661" s="1">
        <v>2021</v>
      </c>
      <c r="K661" s="1" t="s">
        <v>2342</v>
      </c>
    </row>
    <row r="662" spans="1:16" ht="15.75" customHeight="1">
      <c r="A662" s="1" t="s">
        <v>0</v>
      </c>
      <c r="B662" s="1" t="s">
        <v>6627</v>
      </c>
      <c r="C662" s="1" t="s">
        <v>6628</v>
      </c>
      <c r="D662" s="1" t="s">
        <v>6629</v>
      </c>
      <c r="E662" s="1" t="s">
        <v>6630</v>
      </c>
      <c r="F662" s="1" t="s">
        <v>6631</v>
      </c>
      <c r="G662" s="1">
        <v>44</v>
      </c>
      <c r="H662" s="1">
        <v>6</v>
      </c>
      <c r="I662" s="1">
        <v>2021</v>
      </c>
      <c r="J662" s="1">
        <v>34</v>
      </c>
      <c r="K662" s="1">
        <v>1</v>
      </c>
      <c r="L662" s="1" t="s">
        <v>6</v>
      </c>
      <c r="M662" s="1" t="s">
        <v>6</v>
      </c>
      <c r="N662" s="1">
        <v>3</v>
      </c>
      <c r="O662" s="1" t="s">
        <v>6632</v>
      </c>
      <c r="P662" s="3" t="str">
        <f>HYPERLINK("http://dx.doi.org/10.1186/s41155-020-00168-3","http://dx.doi.org/10.1186/s41155-020-00168-3")</f>
        <v>http://dx.doi.org/10.1186/s41155-020-00168-3</v>
      </c>
    </row>
    <row r="663" spans="1:16" ht="15.75" customHeight="1">
      <c r="A663" s="1" t="s">
        <v>10</v>
      </c>
      <c r="B663" s="1" t="s">
        <v>1671</v>
      </c>
      <c r="C663" s="1" t="s">
        <v>1672</v>
      </c>
      <c r="D663" s="1" t="s">
        <v>1673</v>
      </c>
      <c r="E663" s="1" t="s">
        <v>1674</v>
      </c>
      <c r="F663" s="1" t="s">
        <v>1675</v>
      </c>
      <c r="H663" s="1">
        <v>6</v>
      </c>
      <c r="I663" s="1">
        <v>2021</v>
      </c>
      <c r="J663" s="1">
        <v>40</v>
      </c>
      <c r="K663" s="1">
        <v>7</v>
      </c>
      <c r="O663" s="1" t="s">
        <v>1676</v>
      </c>
    </row>
    <row r="664" spans="1:16" ht="15.75" customHeight="1">
      <c r="A664" s="1" t="s">
        <v>10</v>
      </c>
      <c r="B664" s="1" t="s">
        <v>4346</v>
      </c>
      <c r="C664" s="1" t="s">
        <v>4347</v>
      </c>
      <c r="D664" s="1" t="s">
        <v>858</v>
      </c>
      <c r="E664" s="1" t="s">
        <v>4348</v>
      </c>
      <c r="F664" s="1" t="s">
        <v>4349</v>
      </c>
      <c r="H664" s="1">
        <v>6</v>
      </c>
      <c r="I664" s="1">
        <v>2021</v>
      </c>
      <c r="J664" s="1">
        <v>40</v>
      </c>
      <c r="K664" s="1">
        <v>2</v>
      </c>
      <c r="O664" s="1" t="s">
        <v>4350</v>
      </c>
    </row>
    <row r="665" spans="1:16" ht="15.75" customHeight="1">
      <c r="A665" s="1" t="s">
        <v>10</v>
      </c>
      <c r="B665" s="1" t="s">
        <v>2961</v>
      </c>
      <c r="C665" s="1" t="s">
        <v>2962</v>
      </c>
      <c r="D665" s="1" t="s">
        <v>1522</v>
      </c>
      <c r="E665" s="1" t="s">
        <v>2963</v>
      </c>
      <c r="F665" s="1" t="s">
        <v>2964</v>
      </c>
      <c r="H665" s="1">
        <v>6</v>
      </c>
      <c r="I665" s="1">
        <v>2021</v>
      </c>
      <c r="K665" s="1">
        <v>66</v>
      </c>
      <c r="O665" s="1" t="s">
        <v>2965</v>
      </c>
    </row>
    <row r="666" spans="1:16" ht="15.75" customHeight="1">
      <c r="A666" s="1" t="s">
        <v>10</v>
      </c>
      <c r="B666" s="1" t="s">
        <v>6396</v>
      </c>
      <c r="C666" s="1" t="s">
        <v>6397</v>
      </c>
      <c r="D666" s="2" t="s">
        <v>418</v>
      </c>
      <c r="E666" s="1" t="s">
        <v>6398</v>
      </c>
      <c r="F666" s="1" t="s">
        <v>6399</v>
      </c>
      <c r="H666" s="1">
        <v>6</v>
      </c>
      <c r="I666" s="1">
        <v>2021</v>
      </c>
      <c r="J666" s="1">
        <v>12</v>
      </c>
      <c r="O666" s="1" t="s">
        <v>6400</v>
      </c>
    </row>
    <row r="667" spans="1:16" ht="15.75" customHeight="1">
      <c r="A667" s="1" t="s">
        <v>0</v>
      </c>
      <c r="B667" s="1" t="s">
        <v>2353</v>
      </c>
      <c r="C667" s="1" t="s">
        <v>2354</v>
      </c>
      <c r="D667" s="1" t="s">
        <v>578</v>
      </c>
      <c r="E667" s="1" t="s">
        <v>2355</v>
      </c>
      <c r="F667" s="1" t="s">
        <v>2356</v>
      </c>
      <c r="G667" s="1">
        <v>84</v>
      </c>
      <c r="H667" s="1">
        <v>6</v>
      </c>
      <c r="I667" s="1">
        <v>2021</v>
      </c>
      <c r="J667" s="1">
        <v>16</v>
      </c>
      <c r="K667" s="1" t="s">
        <v>2357</v>
      </c>
      <c r="O667" s="1" t="s">
        <v>2358</v>
      </c>
    </row>
    <row r="668" spans="1:16" ht="15.75" customHeight="1">
      <c r="A668" s="1" t="s">
        <v>900</v>
      </c>
      <c r="B668" s="1" t="s">
        <v>1374</v>
      </c>
      <c r="C668" s="1" t="s">
        <v>1375</v>
      </c>
      <c r="D668" s="1" t="s">
        <v>1376</v>
      </c>
      <c r="E668" s="1" t="s">
        <v>1377</v>
      </c>
      <c r="F668" s="1" t="s">
        <v>1378</v>
      </c>
      <c r="G668" s="1">
        <v>75</v>
      </c>
      <c r="H668" s="1">
        <v>6</v>
      </c>
      <c r="I668" s="1">
        <v>2021</v>
      </c>
      <c r="J668" s="1">
        <v>176</v>
      </c>
      <c r="K668" s="1" t="s">
        <v>6</v>
      </c>
      <c r="L668" s="1">
        <v>61</v>
      </c>
      <c r="M668" s="1">
        <v>79</v>
      </c>
      <c r="N668" s="1" t="s">
        <v>6</v>
      </c>
      <c r="O668" s="1" t="s">
        <v>1379</v>
      </c>
      <c r="P668" s="3" t="str">
        <f>HYPERLINK("http://dx.doi.org/10.1002/cad.20403","http://dx.doi.org/10.1002/cad.20403")</f>
        <v>http://dx.doi.org/10.1002/cad.20403</v>
      </c>
    </row>
    <row r="669" spans="1:16" ht="15.75" customHeight="1">
      <c r="A669" s="1" t="s">
        <v>0</v>
      </c>
      <c r="B669" s="1" t="s">
        <v>2861</v>
      </c>
      <c r="C669" s="1" t="s">
        <v>2862</v>
      </c>
      <c r="D669" s="1" t="s">
        <v>1146</v>
      </c>
      <c r="E669" s="1" t="s">
        <v>2863</v>
      </c>
      <c r="F669" s="1" t="s">
        <v>2864</v>
      </c>
      <c r="G669" s="1">
        <v>91</v>
      </c>
      <c r="H669" s="1">
        <v>6</v>
      </c>
      <c r="I669" s="1">
        <v>2021</v>
      </c>
      <c r="J669" s="1">
        <v>12</v>
      </c>
      <c r="K669" s="1" t="s">
        <v>6</v>
      </c>
      <c r="L669" s="1" t="s">
        <v>6</v>
      </c>
      <c r="M669" s="1" t="s">
        <v>6</v>
      </c>
      <c r="N669" s="1">
        <v>707101</v>
      </c>
      <c r="O669" s="1" t="s">
        <v>2865</v>
      </c>
      <c r="P669" s="3" t="str">
        <f>HYPERLINK("http://dx.doi.org/10.3389/fpsyg.2021.707101","http://dx.doi.org/10.3389/fpsyg.2021.707101")</f>
        <v>http://dx.doi.org/10.3389/fpsyg.2021.707101</v>
      </c>
    </row>
    <row r="670" spans="1:16" ht="15.75" customHeight="1">
      <c r="A670" s="1" t="s">
        <v>0</v>
      </c>
      <c r="B670" s="1" t="s">
        <v>3727</v>
      </c>
      <c r="C670" s="1" t="s">
        <v>3728</v>
      </c>
      <c r="D670" s="1" t="s">
        <v>3729</v>
      </c>
      <c r="E670" s="1" t="s">
        <v>3730</v>
      </c>
      <c r="F670" s="1" t="s">
        <v>3731</v>
      </c>
      <c r="G670" s="1">
        <v>44</v>
      </c>
      <c r="H670" s="1">
        <v>6</v>
      </c>
      <c r="I670" s="1">
        <v>2021</v>
      </c>
      <c r="J670" s="1">
        <v>19</v>
      </c>
      <c r="K670" s="1">
        <v>3</v>
      </c>
      <c r="L670" s="1">
        <v>19</v>
      </c>
      <c r="M670" s="1">
        <v>31</v>
      </c>
      <c r="N670" s="1" t="s">
        <v>6</v>
      </c>
      <c r="O670" s="1" t="s">
        <v>3732</v>
      </c>
      <c r="P670" s="3" t="str">
        <f>HYPERLINK("http://dx.doi.org/10.15366/reice2021.19.3.002","http://dx.doi.org/10.15366/reice2021.19.3.002")</f>
        <v>http://dx.doi.org/10.15366/reice2021.19.3.002</v>
      </c>
    </row>
    <row r="671" spans="1:16" ht="15.75" customHeight="1">
      <c r="A671" s="1" t="s">
        <v>0</v>
      </c>
      <c r="B671" s="1" t="s">
        <v>1305</v>
      </c>
      <c r="C671" s="1" t="s">
        <v>1316</v>
      </c>
      <c r="D671" s="1" t="s">
        <v>1051</v>
      </c>
      <c r="E671" s="1" t="s">
        <v>1317</v>
      </c>
      <c r="F671" s="1" t="s">
        <v>1318</v>
      </c>
      <c r="G671" s="1">
        <v>44</v>
      </c>
      <c r="H671" s="1">
        <v>5</v>
      </c>
      <c r="I671" s="1">
        <v>2021</v>
      </c>
      <c r="J671" s="1">
        <v>21</v>
      </c>
      <c r="K671" s="1">
        <v>1</v>
      </c>
      <c r="L671" s="1">
        <v>64</v>
      </c>
      <c r="M671" s="1">
        <v>83</v>
      </c>
      <c r="N671" s="1" t="s">
        <v>6</v>
      </c>
      <c r="O671" s="1" t="s">
        <v>1319</v>
      </c>
      <c r="P671" s="3" t="str">
        <f>HYPERLINK("http://dx.doi.org/10.1111/glob.12279","http://dx.doi.org/10.1111/glob.12279")</f>
        <v>http://dx.doi.org/10.1111/glob.12279</v>
      </c>
    </row>
    <row r="672" spans="1:16" ht="15.75" customHeight="1">
      <c r="A672" s="1" t="s">
        <v>0</v>
      </c>
      <c r="B672" s="1" t="s">
        <v>3147</v>
      </c>
      <c r="C672" s="1" t="s">
        <v>3148</v>
      </c>
      <c r="D672" s="1" t="s">
        <v>3149</v>
      </c>
      <c r="E672" s="1" t="s">
        <v>3150</v>
      </c>
      <c r="F672" s="1" t="s">
        <v>3151</v>
      </c>
      <c r="G672" s="1">
        <v>9</v>
      </c>
      <c r="H672" s="1">
        <v>5</v>
      </c>
      <c r="I672" s="1">
        <v>2021</v>
      </c>
      <c r="J672" s="1">
        <v>20</v>
      </c>
      <c r="K672" s="1" t="s">
        <v>2049</v>
      </c>
      <c r="L672" s="1">
        <v>284</v>
      </c>
      <c r="M672" s="1">
        <v>288</v>
      </c>
      <c r="N672" s="1" t="s">
        <v>6</v>
      </c>
      <c r="O672" s="1" t="s">
        <v>3152</v>
      </c>
      <c r="P672" s="3" t="str">
        <f>HYPERLINK("http://dx.doi.org/10.1177/1473325020973363","http://dx.doi.org/10.1177/1473325020973363")</f>
        <v>http://dx.doi.org/10.1177/1473325020973363</v>
      </c>
    </row>
    <row r="673" spans="1:16" ht="15.75" customHeight="1">
      <c r="A673" s="1" t="s">
        <v>0</v>
      </c>
      <c r="B673" s="1" t="s">
        <v>2680</v>
      </c>
      <c r="C673" s="1" t="s">
        <v>2681</v>
      </c>
      <c r="D673" s="1" t="s">
        <v>2676</v>
      </c>
      <c r="E673" s="1" t="s">
        <v>2682</v>
      </c>
      <c r="F673" s="1" t="s">
        <v>2683</v>
      </c>
      <c r="G673" s="1">
        <v>77</v>
      </c>
      <c r="H673" s="1">
        <v>5</v>
      </c>
      <c r="I673" s="1">
        <v>2021</v>
      </c>
      <c r="J673" s="1">
        <v>17</v>
      </c>
      <c r="K673" s="1">
        <v>2</v>
      </c>
      <c r="L673" s="1">
        <v>477</v>
      </c>
      <c r="M673" s="1">
        <v>506</v>
      </c>
      <c r="N673" s="1" t="s">
        <v>6</v>
      </c>
      <c r="O673" s="1" t="s">
        <v>2684</v>
      </c>
      <c r="P673" s="3" t="str">
        <f>HYPERLINK("http://dx.doi.org/10.1007/s11365-021-00754-6","http://dx.doi.org/10.1007/s11365-021-00754-6")</f>
        <v>http://dx.doi.org/10.1007/s11365-021-00754-6</v>
      </c>
    </row>
    <row r="674" spans="1:16" ht="15.75" customHeight="1">
      <c r="A674" s="1" t="s">
        <v>0</v>
      </c>
      <c r="B674" s="1" t="s">
        <v>2240</v>
      </c>
      <c r="C674" s="1" t="s">
        <v>2241</v>
      </c>
      <c r="D674" s="1" t="s">
        <v>2242</v>
      </c>
      <c r="E674" s="1" t="s">
        <v>2243</v>
      </c>
      <c r="F674" s="1" t="s">
        <v>2244</v>
      </c>
      <c r="G674" s="1">
        <v>37</v>
      </c>
      <c r="H674" s="1">
        <v>5</v>
      </c>
      <c r="I674" s="1">
        <v>2021</v>
      </c>
      <c r="J674" s="1">
        <v>18</v>
      </c>
      <c r="K674" s="1">
        <v>4</v>
      </c>
      <c r="L674" s="1">
        <v>487</v>
      </c>
      <c r="M674" s="1">
        <v>496</v>
      </c>
      <c r="N674" s="1" t="s">
        <v>6</v>
      </c>
      <c r="O674" s="1" t="s">
        <v>2245</v>
      </c>
      <c r="P674" s="3" t="str">
        <f>HYPERLINK("http://dx.doi.org/10.33182/ml.v18i4.1234","http://dx.doi.org/10.33182/ml.v18i4.1234")</f>
        <v>http://dx.doi.org/10.33182/ml.v18i4.1234</v>
      </c>
    </row>
    <row r="675" spans="1:16" ht="15.75" customHeight="1">
      <c r="A675" s="1" t="s">
        <v>463</v>
      </c>
      <c r="B675" s="1" t="s">
        <v>2696</v>
      </c>
      <c r="C675" s="1" t="s">
        <v>2701</v>
      </c>
      <c r="D675" s="1" t="s">
        <v>466</v>
      </c>
      <c r="E675" s="1" t="s">
        <v>2702</v>
      </c>
      <c r="F675" s="1" t="s">
        <v>2703</v>
      </c>
      <c r="H675" s="1">
        <v>4</v>
      </c>
      <c r="I675" s="1">
        <v>2021</v>
      </c>
      <c r="J675" s="1" t="s">
        <v>2704</v>
      </c>
      <c r="O675" s="1" t="s">
        <v>2705</v>
      </c>
    </row>
    <row r="676" spans="1:16" ht="15.75" customHeight="1">
      <c r="A676" s="1" t="s">
        <v>10</v>
      </c>
      <c r="B676" s="1" t="s">
        <v>790</v>
      </c>
      <c r="C676" s="1" t="s">
        <v>791</v>
      </c>
      <c r="D676" s="1" t="s">
        <v>792</v>
      </c>
      <c r="E676" s="1" t="s">
        <v>793</v>
      </c>
      <c r="F676" s="1" t="s">
        <v>794</v>
      </c>
      <c r="H676" s="1">
        <v>4</v>
      </c>
      <c r="I676" s="1">
        <v>2021</v>
      </c>
      <c r="J676" s="1">
        <v>2021</v>
      </c>
      <c r="K676" s="1">
        <v>76</v>
      </c>
      <c r="O676" s="1" t="s">
        <v>795</v>
      </c>
    </row>
    <row r="677" spans="1:16" ht="15.75" customHeight="1">
      <c r="A677" s="1" t="s">
        <v>10</v>
      </c>
      <c r="B677" s="1" t="s">
        <v>725</v>
      </c>
      <c r="C677" s="1" t="s">
        <v>726</v>
      </c>
      <c r="D677" s="1" t="s">
        <v>727</v>
      </c>
      <c r="E677" s="1" t="s">
        <v>728</v>
      </c>
      <c r="F677" s="1" t="s">
        <v>729</v>
      </c>
      <c r="H677" s="1">
        <v>4</v>
      </c>
      <c r="I677" s="1">
        <v>2021</v>
      </c>
      <c r="J677" s="1">
        <v>27</v>
      </c>
      <c r="K677" s="1">
        <v>2</v>
      </c>
    </row>
    <row r="678" spans="1:16" ht="15.75" customHeight="1">
      <c r="A678" s="1" t="s">
        <v>0</v>
      </c>
      <c r="B678" s="1" t="s">
        <v>2359</v>
      </c>
      <c r="C678" s="1" t="s">
        <v>2360</v>
      </c>
      <c r="D678" s="1" t="s">
        <v>1864</v>
      </c>
      <c r="E678" s="1" t="s">
        <v>2361</v>
      </c>
      <c r="F678" s="1" t="s">
        <v>2362</v>
      </c>
      <c r="G678" s="1">
        <v>47</v>
      </c>
      <c r="H678" s="1">
        <v>4</v>
      </c>
      <c r="I678" s="1">
        <v>2021</v>
      </c>
      <c r="J678" s="1">
        <v>28</v>
      </c>
      <c r="K678" s="1" t="s">
        <v>378</v>
      </c>
      <c r="O678" s="1" t="s">
        <v>2363</v>
      </c>
    </row>
    <row r="679" spans="1:16" ht="15.75" customHeight="1">
      <c r="A679" s="1" t="s">
        <v>10</v>
      </c>
      <c r="B679" s="1" t="s">
        <v>1283</v>
      </c>
      <c r="C679" s="1" t="s">
        <v>1284</v>
      </c>
      <c r="D679" s="1" t="s">
        <v>1285</v>
      </c>
      <c r="E679" s="1" t="s">
        <v>1286</v>
      </c>
      <c r="F679" s="1" t="s">
        <v>1287</v>
      </c>
      <c r="H679" s="1">
        <v>4</v>
      </c>
      <c r="I679" s="1">
        <v>2021</v>
      </c>
      <c r="J679" s="1">
        <v>25</v>
      </c>
      <c r="K679" s="1">
        <v>1</v>
      </c>
      <c r="O679" s="1" t="s">
        <v>1288</v>
      </c>
    </row>
    <row r="680" spans="1:16" ht="15.75" customHeight="1">
      <c r="A680" s="1" t="s">
        <v>0</v>
      </c>
      <c r="B680" s="1" t="s">
        <v>363</v>
      </c>
      <c r="C680" s="1" t="s">
        <v>364</v>
      </c>
      <c r="D680" s="1" t="s">
        <v>365</v>
      </c>
      <c r="E680" s="1" t="s">
        <v>366</v>
      </c>
      <c r="F680" s="1" t="s">
        <v>367</v>
      </c>
      <c r="G680" s="1">
        <v>35</v>
      </c>
      <c r="H680" s="1">
        <v>4</v>
      </c>
      <c r="I680" s="1">
        <v>2021</v>
      </c>
      <c r="J680" s="1">
        <v>26</v>
      </c>
      <c r="K680" s="1">
        <v>1</v>
      </c>
      <c r="L680" s="1">
        <v>78</v>
      </c>
      <c r="M680" s="1">
        <v>93</v>
      </c>
      <c r="N680" s="1" t="s">
        <v>6</v>
      </c>
      <c r="O680" s="1" t="s">
        <v>368</v>
      </c>
      <c r="P680" s="3" t="str">
        <f>HYPERLINK("http://dx.doi.org/10.1080/15325024.2020.1819020","http://dx.doi.org/10.1080/15325024.2020.1819020")</f>
        <v>http://dx.doi.org/10.1080/15325024.2020.1819020</v>
      </c>
    </row>
    <row r="681" spans="1:16" ht="15.75" customHeight="1">
      <c r="A681" s="1" t="s">
        <v>0</v>
      </c>
      <c r="B681" s="1" t="s">
        <v>3429</v>
      </c>
      <c r="C681" s="1" t="s">
        <v>3430</v>
      </c>
      <c r="D681" s="1" t="s">
        <v>3431</v>
      </c>
      <c r="E681" s="1" t="s">
        <v>3432</v>
      </c>
      <c r="F681" s="1" t="s">
        <v>3433</v>
      </c>
      <c r="G681" s="1">
        <v>42</v>
      </c>
      <c r="H681" s="1">
        <v>4</v>
      </c>
      <c r="I681" s="1">
        <v>2021</v>
      </c>
      <c r="J681" s="1">
        <v>10</v>
      </c>
      <c r="K681" s="1">
        <v>1</v>
      </c>
      <c r="L681" s="1">
        <v>41</v>
      </c>
      <c r="M681" s="1">
        <v>54</v>
      </c>
      <c r="N681" s="1" t="s">
        <v>6</v>
      </c>
      <c r="O681" s="1" t="s">
        <v>3434</v>
      </c>
      <c r="P681" s="3" t="str">
        <f>HYPERLINK("http://dx.doi.org/10.15366/riejs2021.10.1.003","http://dx.doi.org/10.15366/riejs2021.10.1.003")</f>
        <v>http://dx.doi.org/10.15366/riejs2021.10.1.003</v>
      </c>
    </row>
    <row r="682" spans="1:16" ht="15.75" customHeight="1">
      <c r="A682" s="1" t="s">
        <v>0</v>
      </c>
      <c r="B682" s="1" t="s">
        <v>2434</v>
      </c>
      <c r="C682" s="1" t="s">
        <v>2435</v>
      </c>
      <c r="D682" s="1" t="s">
        <v>1146</v>
      </c>
      <c r="E682" s="1" t="s">
        <v>2436</v>
      </c>
      <c r="F682" s="1" t="s">
        <v>2437</v>
      </c>
      <c r="G682" s="1">
        <v>88</v>
      </c>
      <c r="H682" s="1">
        <v>4</v>
      </c>
      <c r="I682" s="1">
        <v>2021</v>
      </c>
      <c r="J682" s="1">
        <v>11</v>
      </c>
      <c r="K682" s="1" t="s">
        <v>6</v>
      </c>
      <c r="L682" s="1" t="s">
        <v>6</v>
      </c>
      <c r="M682" s="1" t="s">
        <v>6</v>
      </c>
      <c r="N682" s="1">
        <v>617465</v>
      </c>
      <c r="O682" s="1" t="s">
        <v>2438</v>
      </c>
      <c r="P682" s="3" t="str">
        <f>HYPERLINK("http://dx.doi.org/10.3389/fpsyg.2020.617465","http://dx.doi.org/10.3389/fpsyg.2020.617465")</f>
        <v>http://dx.doi.org/10.3389/fpsyg.2020.617465</v>
      </c>
    </row>
    <row r="683" spans="1:16" ht="15.75" customHeight="1">
      <c r="A683" s="1" t="s">
        <v>0</v>
      </c>
      <c r="B683" s="1" t="s">
        <v>3849</v>
      </c>
      <c r="C683" s="1" t="s">
        <v>3850</v>
      </c>
      <c r="D683" s="1" t="s">
        <v>2910</v>
      </c>
      <c r="E683" s="1" t="s">
        <v>3851</v>
      </c>
      <c r="F683" s="1" t="s">
        <v>3852</v>
      </c>
      <c r="G683" s="1">
        <v>93</v>
      </c>
      <c r="H683" s="1">
        <v>4</v>
      </c>
      <c r="I683" s="1">
        <v>2021</v>
      </c>
      <c r="J683" s="1">
        <v>22</v>
      </c>
      <c r="K683" s="1" t="s">
        <v>6</v>
      </c>
      <c r="L683" s="1" t="s">
        <v>6</v>
      </c>
      <c r="M683" s="1" t="s">
        <v>6</v>
      </c>
      <c r="N683" s="1" t="s">
        <v>3853</v>
      </c>
      <c r="O683" s="1" t="s">
        <v>3854</v>
      </c>
      <c r="P683" s="3" t="str">
        <f>HYPERLINK("http://dx.doi.org/10.21670/ref.2102065","http://dx.doi.org/10.21670/ref.2102065")</f>
        <v>http://dx.doi.org/10.21670/ref.2102065</v>
      </c>
    </row>
    <row r="684" spans="1:16" ht="15.75" customHeight="1">
      <c r="A684" s="1" t="s">
        <v>0</v>
      </c>
      <c r="B684" s="1" t="s">
        <v>6233</v>
      </c>
      <c r="C684" s="1" t="s">
        <v>6234</v>
      </c>
      <c r="D684" s="1" t="s">
        <v>2664</v>
      </c>
      <c r="E684" s="1" t="s">
        <v>6235</v>
      </c>
      <c r="F684" s="1" t="s">
        <v>6236</v>
      </c>
      <c r="G684" s="1">
        <v>48</v>
      </c>
      <c r="H684" s="1">
        <v>4</v>
      </c>
      <c r="I684" s="1">
        <v>2021</v>
      </c>
      <c r="J684" s="1">
        <v>8</v>
      </c>
      <c r="K684" s="1">
        <v>2</v>
      </c>
      <c r="L684" s="1">
        <v>38</v>
      </c>
      <c r="M684" s="1">
        <v>66</v>
      </c>
      <c r="N684" s="1" t="s">
        <v>6</v>
      </c>
      <c r="O684" s="1" t="s">
        <v>6237</v>
      </c>
      <c r="P684" s="3" t="str">
        <f>HYPERLINK("http://dx.doi.org/10.47456/simbitica.v8i2.36378","http://dx.doi.org/10.47456/simbitica.v8i2.36378")</f>
        <v>http://dx.doi.org/10.47456/simbitica.v8i2.36378</v>
      </c>
    </row>
    <row r="685" spans="1:16" ht="15.75" customHeight="1">
      <c r="A685" s="1" t="s">
        <v>0</v>
      </c>
      <c r="B685" s="1" t="s">
        <v>3289</v>
      </c>
      <c r="C685" s="1" t="s">
        <v>3290</v>
      </c>
      <c r="D685" s="1" t="s">
        <v>3291</v>
      </c>
      <c r="E685" s="1" t="s">
        <v>3292</v>
      </c>
      <c r="F685" s="1" t="s">
        <v>3293</v>
      </c>
      <c r="G685" s="1">
        <v>68</v>
      </c>
      <c r="H685" s="1">
        <v>3</v>
      </c>
      <c r="I685" s="1">
        <v>2021</v>
      </c>
      <c r="J685" s="1">
        <v>39</v>
      </c>
      <c r="K685" s="1">
        <v>2</v>
      </c>
      <c r="L685" s="1">
        <v>849</v>
      </c>
      <c r="M685" s="1">
        <v>880</v>
      </c>
      <c r="N685" s="1" t="s">
        <v>6</v>
      </c>
      <c r="O685" s="1" t="s">
        <v>3294</v>
      </c>
      <c r="P685" s="3" t="str">
        <f>HYPERLINK("http://dx.doi.org/10.18800/psico.202102.012","http://dx.doi.org/10.18800/psico.202102.012")</f>
        <v>http://dx.doi.org/10.18800/psico.202102.012</v>
      </c>
    </row>
    <row r="686" spans="1:16" ht="15.75" customHeight="1">
      <c r="A686" s="1" t="s">
        <v>10</v>
      </c>
      <c r="B686" s="1" t="s">
        <v>5245</v>
      </c>
      <c r="C686" s="1" t="s">
        <v>5246</v>
      </c>
      <c r="D686" s="1" t="s">
        <v>1892</v>
      </c>
      <c r="E686" s="1" t="s">
        <v>5247</v>
      </c>
      <c r="F686" s="1" t="s">
        <v>5248</v>
      </c>
      <c r="H686" s="1">
        <v>3</v>
      </c>
      <c r="I686" s="1">
        <v>2021</v>
      </c>
      <c r="J686" s="1">
        <v>22</v>
      </c>
      <c r="O686" s="1" t="s">
        <v>5249</v>
      </c>
    </row>
    <row r="687" spans="1:16" ht="15.75" customHeight="1">
      <c r="A687" s="1" t="s">
        <v>10</v>
      </c>
      <c r="B687" s="1" t="s">
        <v>4925</v>
      </c>
      <c r="C687" s="1" t="s">
        <v>4926</v>
      </c>
      <c r="D687" s="1" t="s">
        <v>4927</v>
      </c>
      <c r="E687" s="1" t="s">
        <v>4928</v>
      </c>
      <c r="F687" s="1" t="s">
        <v>4929</v>
      </c>
      <c r="H687" s="1">
        <v>3</v>
      </c>
      <c r="I687" s="1">
        <v>2021</v>
      </c>
      <c r="J687" s="1">
        <v>16</v>
      </c>
      <c r="K687" s="1">
        <v>1</v>
      </c>
      <c r="O687" s="1" t="s">
        <v>4930</v>
      </c>
    </row>
    <row r="688" spans="1:16" ht="15.75" customHeight="1">
      <c r="A688" s="1" t="s">
        <v>0</v>
      </c>
      <c r="B688" s="1" t="s">
        <v>3247</v>
      </c>
      <c r="C688" s="1" t="s">
        <v>3248</v>
      </c>
      <c r="D688" s="1" t="s">
        <v>3249</v>
      </c>
      <c r="E688" s="1" t="s">
        <v>3250</v>
      </c>
      <c r="F688" s="1" t="s">
        <v>3251</v>
      </c>
      <c r="G688" s="1">
        <v>44</v>
      </c>
      <c r="H688" s="1">
        <v>3</v>
      </c>
      <c r="I688" s="1">
        <v>2021</v>
      </c>
      <c r="J688" s="1">
        <v>42</v>
      </c>
      <c r="K688" s="1">
        <v>4</v>
      </c>
      <c r="L688" s="1">
        <v>506</v>
      </c>
      <c r="M688" s="1">
        <v>520</v>
      </c>
      <c r="N688" s="1" t="s">
        <v>6</v>
      </c>
      <c r="O688" s="1" t="s">
        <v>3252</v>
      </c>
      <c r="P688" s="3" t="str">
        <f>HYPERLINK("http://dx.doi.org/10.1080/01425692.2021.1872363","http://dx.doi.org/10.1080/01425692.2021.1872363")</f>
        <v>http://dx.doi.org/10.1080/01425692.2021.1872363</v>
      </c>
    </row>
    <row r="689" spans="1:16" ht="15.75" customHeight="1">
      <c r="A689" s="1" t="s">
        <v>10</v>
      </c>
      <c r="B689" s="1" t="s">
        <v>6857</v>
      </c>
      <c r="C689" s="1" t="s">
        <v>6858</v>
      </c>
      <c r="D689" s="1" t="s">
        <v>88</v>
      </c>
      <c r="E689" s="1" t="s">
        <v>6859</v>
      </c>
      <c r="F689" s="1" t="s">
        <v>6860</v>
      </c>
      <c r="H689" s="1">
        <v>3</v>
      </c>
      <c r="I689" s="1">
        <v>2021</v>
      </c>
      <c r="J689" s="1">
        <v>144</v>
      </c>
      <c r="O689" s="1" t="s">
        <v>6861</v>
      </c>
    </row>
    <row r="690" spans="1:16" ht="15.75" customHeight="1">
      <c r="A690" s="1" t="s">
        <v>10</v>
      </c>
      <c r="B690" s="1" t="s">
        <v>2481</v>
      </c>
      <c r="C690" s="1" t="s">
        <v>2482</v>
      </c>
      <c r="D690" s="1" t="s">
        <v>1880</v>
      </c>
      <c r="E690" s="1" t="s">
        <v>2483</v>
      </c>
      <c r="F690" s="1" t="s">
        <v>2484</v>
      </c>
      <c r="H690" s="1">
        <v>3</v>
      </c>
      <c r="I690" s="1">
        <v>2021</v>
      </c>
      <c r="J690" s="1">
        <v>29</v>
      </c>
      <c r="O690" s="1" t="s">
        <v>2485</v>
      </c>
    </row>
    <row r="691" spans="1:16" ht="15.75" customHeight="1">
      <c r="A691" s="1" t="s">
        <v>10</v>
      </c>
      <c r="B691" s="1" t="s">
        <v>5026</v>
      </c>
      <c r="C691" s="1" t="s">
        <v>5027</v>
      </c>
      <c r="D691" s="1" t="s">
        <v>3696</v>
      </c>
      <c r="E691" s="1" t="s">
        <v>5028</v>
      </c>
      <c r="F691" s="1" t="s">
        <v>5029</v>
      </c>
      <c r="H691" s="1">
        <v>3</v>
      </c>
      <c r="I691" s="1">
        <v>2021</v>
      </c>
      <c r="J691" s="1">
        <v>8</v>
      </c>
      <c r="K691" s="1">
        <v>2</v>
      </c>
      <c r="O691" s="1" t="s">
        <v>5030</v>
      </c>
    </row>
    <row r="692" spans="1:16" ht="15.75" customHeight="1">
      <c r="A692" s="1" t="s">
        <v>10</v>
      </c>
      <c r="B692" s="1" t="s">
        <v>5389</v>
      </c>
      <c r="C692" s="1" t="s">
        <v>5390</v>
      </c>
      <c r="D692" s="1" t="s">
        <v>5391</v>
      </c>
      <c r="E692" s="1" t="s">
        <v>5392</v>
      </c>
      <c r="F692" s="1" t="s">
        <v>5393</v>
      </c>
      <c r="H692" s="1">
        <v>3</v>
      </c>
      <c r="I692" s="1">
        <v>2021</v>
      </c>
      <c r="J692" s="1">
        <v>27</v>
      </c>
      <c r="K692" s="1">
        <v>1</v>
      </c>
      <c r="O692" s="1" t="s">
        <v>5394</v>
      </c>
    </row>
    <row r="693" spans="1:16" ht="15.75" customHeight="1">
      <c r="A693" s="1" t="s">
        <v>10</v>
      </c>
      <c r="B693" s="1" t="s">
        <v>5848</v>
      </c>
      <c r="C693" s="1" t="s">
        <v>5853</v>
      </c>
      <c r="D693" s="1" t="s">
        <v>5854</v>
      </c>
      <c r="E693" s="1" t="s">
        <v>5855</v>
      </c>
      <c r="F693" s="1" t="s">
        <v>5856</v>
      </c>
      <c r="H693" s="1">
        <v>3</v>
      </c>
      <c r="I693" s="1">
        <v>2021</v>
      </c>
      <c r="J693" s="1">
        <v>15</v>
      </c>
      <c r="K693" s="1">
        <v>2</v>
      </c>
      <c r="O693" s="1" t="s">
        <v>5857</v>
      </c>
    </row>
    <row r="694" spans="1:16" ht="15.75" customHeight="1">
      <c r="A694" s="1" t="s">
        <v>31</v>
      </c>
      <c r="B694" s="1" t="s">
        <v>620</v>
      </c>
      <c r="C694" s="1" t="s">
        <v>621</v>
      </c>
      <c r="D694" s="1" t="s">
        <v>622</v>
      </c>
      <c r="E694" s="1" t="s">
        <v>623</v>
      </c>
      <c r="F694" s="1" t="s">
        <v>624</v>
      </c>
      <c r="H694" s="1">
        <v>3</v>
      </c>
      <c r="I694" s="1">
        <v>2021</v>
      </c>
      <c r="O694" s="1" t="s">
        <v>625</v>
      </c>
    </row>
    <row r="695" spans="1:16" ht="15.75" customHeight="1">
      <c r="A695" s="1" t="s">
        <v>0</v>
      </c>
      <c r="B695" s="1" t="s">
        <v>4660</v>
      </c>
      <c r="C695" s="1" t="s">
        <v>4661</v>
      </c>
      <c r="D695" s="1" t="s">
        <v>1874</v>
      </c>
      <c r="E695" s="1" t="s">
        <v>4662</v>
      </c>
      <c r="F695" s="1" t="s">
        <v>4663</v>
      </c>
      <c r="G695" s="1">
        <v>75</v>
      </c>
      <c r="H695" s="1">
        <v>3</v>
      </c>
      <c r="I695" s="1">
        <v>2021</v>
      </c>
      <c r="J695" s="1">
        <v>53</v>
      </c>
      <c r="K695" s="1" t="s">
        <v>6</v>
      </c>
      <c r="L695" s="1">
        <v>227</v>
      </c>
      <c r="M695" s="1">
        <v>255</v>
      </c>
      <c r="N695" s="1" t="s">
        <v>6</v>
      </c>
      <c r="O695" s="1" t="s">
        <v>6</v>
      </c>
      <c r="P695" s="1" t="s">
        <v>6</v>
      </c>
    </row>
    <row r="696" spans="1:16" ht="15.75" customHeight="1">
      <c r="A696" s="1" t="s">
        <v>0</v>
      </c>
      <c r="B696" s="1" t="s">
        <v>1992</v>
      </c>
      <c r="C696" s="1" t="s">
        <v>1993</v>
      </c>
      <c r="D696" s="1" t="s">
        <v>58</v>
      </c>
      <c r="E696" s="1" t="s">
        <v>1994</v>
      </c>
      <c r="F696" s="1" t="s">
        <v>1995</v>
      </c>
      <c r="G696" s="1">
        <v>56</v>
      </c>
      <c r="H696" s="1">
        <v>3</v>
      </c>
      <c r="I696" s="1">
        <v>2021</v>
      </c>
      <c r="J696" s="1">
        <v>21</v>
      </c>
      <c r="K696" s="1">
        <v>1</v>
      </c>
      <c r="L696" s="1">
        <v>103</v>
      </c>
      <c r="M696" s="1">
        <v>128</v>
      </c>
      <c r="N696" s="1" t="s">
        <v>6</v>
      </c>
      <c r="O696" s="1" t="s">
        <v>1996</v>
      </c>
      <c r="P696" s="3" t="str">
        <f>HYPERLINK("http://dx.doi.org/10.4067/S0719-09482021000100103","http://dx.doi.org/10.4067/S0719-09482021000100103")</f>
        <v>http://dx.doi.org/10.4067/S0719-09482021000100103</v>
      </c>
    </row>
    <row r="697" spans="1:16" ht="15.75" customHeight="1">
      <c r="A697" s="1" t="s">
        <v>0</v>
      </c>
      <c r="B697" s="1" t="s">
        <v>2337</v>
      </c>
      <c r="C697" s="1" t="s">
        <v>2338</v>
      </c>
      <c r="D697" s="1" t="s">
        <v>2339</v>
      </c>
      <c r="E697" s="1" t="s">
        <v>2340</v>
      </c>
      <c r="F697" s="1" t="s">
        <v>2341</v>
      </c>
      <c r="G697" s="1">
        <v>42</v>
      </c>
      <c r="H697" s="1">
        <v>3</v>
      </c>
      <c r="I697" s="1">
        <v>2021</v>
      </c>
      <c r="K697" s="1" t="s">
        <v>2342</v>
      </c>
    </row>
    <row r="698" spans="1:16" ht="15.75" customHeight="1">
      <c r="A698" s="1" t="s">
        <v>0</v>
      </c>
      <c r="B698" s="1" t="s">
        <v>5117</v>
      </c>
      <c r="C698" s="1" t="s">
        <v>5123</v>
      </c>
      <c r="D698" s="1" t="s">
        <v>201</v>
      </c>
      <c r="E698" s="1" t="s">
        <v>5124</v>
      </c>
      <c r="F698" s="1" t="s">
        <v>5125</v>
      </c>
      <c r="G698" s="1">
        <v>69</v>
      </c>
      <c r="H698" s="1">
        <v>3</v>
      </c>
      <c r="I698" s="1">
        <v>2021</v>
      </c>
      <c r="J698" s="1" t="s">
        <v>6</v>
      </c>
      <c r="K698" s="1">
        <v>67</v>
      </c>
      <c r="L698" s="1" t="s">
        <v>6</v>
      </c>
      <c r="M698" s="1" t="s">
        <v>6</v>
      </c>
      <c r="N698" s="1" t="s">
        <v>5126</v>
      </c>
      <c r="O698" s="1" t="s">
        <v>5127</v>
      </c>
      <c r="P698" s="3" t="str">
        <f>HYPERLINK("http://dx.doi.org/10.22199/issn.0718-1043-2021-0010","http://dx.doi.org/10.22199/issn.0718-1043-2021-0010")</f>
        <v>http://dx.doi.org/10.22199/issn.0718-1043-2021-0010</v>
      </c>
    </row>
    <row r="699" spans="1:16" ht="15.75" customHeight="1">
      <c r="A699" s="1" t="s">
        <v>0</v>
      </c>
      <c r="B699" s="1" t="s">
        <v>2527</v>
      </c>
      <c r="C699" s="2" t="s">
        <v>2528</v>
      </c>
      <c r="D699" s="2" t="s">
        <v>602</v>
      </c>
      <c r="E699" s="1" t="s">
        <v>2529</v>
      </c>
      <c r="F699" s="1" t="s">
        <v>2530</v>
      </c>
      <c r="G699" s="1">
        <v>33</v>
      </c>
      <c r="H699" s="1">
        <v>3</v>
      </c>
      <c r="I699" s="1">
        <v>2021</v>
      </c>
      <c r="J699" s="1">
        <v>36</v>
      </c>
      <c r="K699" s="1" t="s">
        <v>605</v>
      </c>
      <c r="O699" s="1" t="s">
        <v>2531</v>
      </c>
    </row>
    <row r="700" spans="1:16" ht="15.75" customHeight="1">
      <c r="A700" s="1" t="s">
        <v>10</v>
      </c>
      <c r="B700" s="1" t="s">
        <v>1583</v>
      </c>
      <c r="C700" s="1" t="s">
        <v>1584</v>
      </c>
      <c r="D700" s="1" t="s">
        <v>1382</v>
      </c>
      <c r="E700" s="1" t="s">
        <v>1585</v>
      </c>
      <c r="F700" s="1" t="s">
        <v>1586</v>
      </c>
      <c r="H700" s="1">
        <v>2</v>
      </c>
      <c r="I700" s="1">
        <v>2021</v>
      </c>
      <c r="J700" s="1">
        <v>34</v>
      </c>
      <c r="K700" s="1">
        <v>1</v>
      </c>
      <c r="O700" s="1" t="s">
        <v>1587</v>
      </c>
    </row>
    <row r="701" spans="1:16" ht="15.75" customHeight="1">
      <c r="A701" s="1" t="s">
        <v>10</v>
      </c>
      <c r="B701" s="1" t="s">
        <v>221</v>
      </c>
      <c r="C701" s="1" t="s">
        <v>222</v>
      </c>
      <c r="D701" s="1" t="s">
        <v>223</v>
      </c>
      <c r="E701" s="1" t="s">
        <v>224</v>
      </c>
      <c r="F701" s="1" t="s">
        <v>225</v>
      </c>
      <c r="H701" s="1">
        <v>2</v>
      </c>
      <c r="I701" s="1">
        <v>2021</v>
      </c>
      <c r="J701" s="1">
        <v>2021</v>
      </c>
      <c r="K701" s="1">
        <v>81</v>
      </c>
      <c r="O701" s="1" t="s">
        <v>226</v>
      </c>
    </row>
    <row r="702" spans="1:16" ht="15.75" customHeight="1">
      <c r="A702" s="1" t="s">
        <v>10</v>
      </c>
      <c r="B702" s="1" t="s">
        <v>5570</v>
      </c>
      <c r="C702" s="1" t="s">
        <v>5571</v>
      </c>
      <c r="D702" s="1" t="s">
        <v>5572</v>
      </c>
      <c r="E702" s="1" t="s">
        <v>5573</v>
      </c>
      <c r="F702" s="1" t="s">
        <v>5574</v>
      </c>
      <c r="H702" s="1">
        <v>2</v>
      </c>
      <c r="I702" s="1">
        <v>2021</v>
      </c>
      <c r="J702" s="1">
        <v>18</v>
      </c>
      <c r="K702" s="1">
        <v>2</v>
      </c>
      <c r="O702" s="1" t="s">
        <v>5575</v>
      </c>
    </row>
    <row r="703" spans="1:16" ht="15.75" customHeight="1">
      <c r="A703" s="1" t="s">
        <v>0</v>
      </c>
      <c r="B703" s="1" t="s">
        <v>3614</v>
      </c>
      <c r="C703" s="1" t="s">
        <v>3615</v>
      </c>
      <c r="D703" s="1" t="s">
        <v>2513</v>
      </c>
      <c r="E703" s="1" t="s">
        <v>3616</v>
      </c>
      <c r="F703" s="1" t="s">
        <v>3617</v>
      </c>
      <c r="G703" s="1">
        <v>53</v>
      </c>
      <c r="H703" s="1">
        <v>2</v>
      </c>
      <c r="I703" s="1">
        <v>2021</v>
      </c>
      <c r="K703" s="1" t="s">
        <v>3618</v>
      </c>
      <c r="O703" s="1" t="s">
        <v>3619</v>
      </c>
    </row>
    <row r="704" spans="1:16" ht="15.75" customHeight="1">
      <c r="A704" s="1" t="s">
        <v>0</v>
      </c>
      <c r="B704" s="1" t="s">
        <v>80</v>
      </c>
      <c r="C704" s="1" t="s">
        <v>81</v>
      </c>
      <c r="D704" s="1" t="s">
        <v>82</v>
      </c>
      <c r="E704" s="1" t="s">
        <v>83</v>
      </c>
      <c r="F704" s="1" t="s">
        <v>84</v>
      </c>
      <c r="G704" s="1">
        <v>97</v>
      </c>
      <c r="H704" s="1">
        <v>2</v>
      </c>
      <c r="I704" s="1">
        <v>2021</v>
      </c>
      <c r="J704" s="1">
        <v>52</v>
      </c>
      <c r="K704" s="1">
        <v>5</v>
      </c>
      <c r="L704" s="1">
        <v>418</v>
      </c>
      <c r="M704" s="1">
        <v>435</v>
      </c>
      <c r="N704" s="1">
        <v>967010620964676</v>
      </c>
      <c r="O704" s="1" t="s">
        <v>85</v>
      </c>
      <c r="P704" s="3" t="str">
        <f>HYPERLINK("http://dx.doi.org/10.1177/0967010620964676","http://dx.doi.org/10.1177/0967010620964676")</f>
        <v>http://dx.doi.org/10.1177/0967010620964676</v>
      </c>
    </row>
    <row r="705" spans="1:16" ht="15.75" customHeight="1">
      <c r="A705" s="1" t="s">
        <v>0</v>
      </c>
      <c r="B705" s="1" t="s">
        <v>5526</v>
      </c>
      <c r="C705" s="1" t="s">
        <v>5527</v>
      </c>
      <c r="D705" s="1" t="s">
        <v>5528</v>
      </c>
      <c r="E705" s="1" t="s">
        <v>5529</v>
      </c>
      <c r="F705" s="1" t="s">
        <v>5530</v>
      </c>
      <c r="G705" s="1">
        <v>8</v>
      </c>
      <c r="H705" s="1">
        <v>2</v>
      </c>
      <c r="I705" s="1">
        <v>2021</v>
      </c>
      <c r="J705" s="1">
        <v>33</v>
      </c>
      <c r="K705" s="1">
        <v>3</v>
      </c>
      <c r="L705" s="1">
        <v>573</v>
      </c>
      <c r="M705" s="1">
        <v>584</v>
      </c>
      <c r="N705" s="1" t="s">
        <v>6</v>
      </c>
      <c r="O705" s="1" t="s">
        <v>5531</v>
      </c>
      <c r="P705" s="3" t="str">
        <f>HYPERLINK("http://dx.doi.org/10.1080/11356405.2021.1949111","http://dx.doi.org/10.1080/11356405.2021.1949111")</f>
        <v>http://dx.doi.org/10.1080/11356405.2021.1949111</v>
      </c>
    </row>
    <row r="706" spans="1:16" ht="15.75" customHeight="1">
      <c r="A706" s="1" t="s">
        <v>10</v>
      </c>
      <c r="B706" s="1" t="s">
        <v>5173</v>
      </c>
      <c r="C706" s="1" t="s">
        <v>5174</v>
      </c>
      <c r="D706" s="1" t="s">
        <v>1522</v>
      </c>
      <c r="E706" s="1" t="s">
        <v>5175</v>
      </c>
      <c r="F706" s="1" t="s">
        <v>5176</v>
      </c>
      <c r="H706" s="1">
        <v>2</v>
      </c>
      <c r="I706" s="1">
        <v>2021</v>
      </c>
      <c r="K706" s="1">
        <v>65</v>
      </c>
      <c r="O706" s="1" t="s">
        <v>5177</v>
      </c>
    </row>
    <row r="707" spans="1:16" ht="15.75" customHeight="1">
      <c r="A707" s="1" t="s">
        <v>10</v>
      </c>
      <c r="B707" s="1" t="s">
        <v>5010</v>
      </c>
      <c r="C707" s="1" t="s">
        <v>5011</v>
      </c>
      <c r="D707" s="1" t="s">
        <v>1880</v>
      </c>
      <c r="E707" s="1" t="s">
        <v>5012</v>
      </c>
      <c r="F707" s="1" t="s">
        <v>5013</v>
      </c>
      <c r="H707" s="1">
        <v>2</v>
      </c>
      <c r="I707" s="1">
        <v>2021</v>
      </c>
      <c r="J707" s="1">
        <v>29</v>
      </c>
      <c r="O707" s="1" t="s">
        <v>5014</v>
      </c>
    </row>
    <row r="708" spans="1:16" ht="15.75" customHeight="1">
      <c r="A708" s="1" t="s">
        <v>0</v>
      </c>
      <c r="B708" s="1" t="s">
        <v>3721</v>
      </c>
      <c r="C708" s="1" t="s">
        <v>3722</v>
      </c>
      <c r="D708" s="1" t="s">
        <v>3723</v>
      </c>
      <c r="E708" s="1" t="s">
        <v>3724</v>
      </c>
      <c r="F708" s="1" t="s">
        <v>3725</v>
      </c>
      <c r="G708" s="1">
        <v>61</v>
      </c>
      <c r="H708" s="1">
        <v>2</v>
      </c>
      <c r="I708" s="1">
        <v>2021</v>
      </c>
      <c r="J708" s="1">
        <v>35</v>
      </c>
      <c r="K708" s="1">
        <v>2</v>
      </c>
      <c r="L708" s="1">
        <v>248</v>
      </c>
      <c r="M708" s="1">
        <v>267</v>
      </c>
      <c r="N708" s="1" t="s">
        <v>6</v>
      </c>
      <c r="O708" s="1" t="s">
        <v>3726</v>
      </c>
      <c r="P708" s="3" t="str">
        <f>HYPERLINK("http://dx.doi.org/10.1080/02568543.2021.1880997","http://dx.doi.org/10.1080/02568543.2021.1880997")</f>
        <v>http://dx.doi.org/10.1080/02568543.2021.1880997</v>
      </c>
    </row>
    <row r="709" spans="1:16" ht="15.75" customHeight="1">
      <c r="A709" s="1" t="s">
        <v>10</v>
      </c>
      <c r="B709" s="1" t="s">
        <v>1171</v>
      </c>
      <c r="C709" s="1" t="s">
        <v>1172</v>
      </c>
      <c r="D709" s="2" t="s">
        <v>1173</v>
      </c>
      <c r="E709" s="1" t="s">
        <v>1174</v>
      </c>
      <c r="F709" s="1" t="s">
        <v>1175</v>
      </c>
      <c r="H709" s="1">
        <v>2</v>
      </c>
      <c r="I709" s="1">
        <v>2021</v>
      </c>
      <c r="J709" s="1">
        <v>12</v>
      </c>
      <c r="K709" s="1">
        <v>34</v>
      </c>
      <c r="O709" s="1" t="s">
        <v>1176</v>
      </c>
    </row>
    <row r="710" spans="1:16" ht="15.75" customHeight="1">
      <c r="A710" s="1" t="s">
        <v>0</v>
      </c>
      <c r="B710" s="1" t="s">
        <v>7009</v>
      </c>
      <c r="C710" s="1" t="s">
        <v>7010</v>
      </c>
      <c r="D710" s="1" t="s">
        <v>2513</v>
      </c>
      <c r="E710" s="1" t="s">
        <v>7011</v>
      </c>
      <c r="F710" s="1" t="s">
        <v>7012</v>
      </c>
      <c r="G710" s="1">
        <v>51</v>
      </c>
      <c r="H710" s="1">
        <v>2</v>
      </c>
      <c r="I710" s="1">
        <v>2021</v>
      </c>
      <c r="K710" s="1" t="s">
        <v>5063</v>
      </c>
      <c r="O710" s="1" t="s">
        <v>7013</v>
      </c>
    </row>
    <row r="711" spans="1:16" s="11" customFormat="1" ht="15.75" customHeight="1">
      <c r="A711" s="10" t="s">
        <v>10</v>
      </c>
      <c r="B711" s="10" t="s">
        <v>3417</v>
      </c>
      <c r="C711" s="10" t="s">
        <v>3418</v>
      </c>
      <c r="D711" s="10" t="s">
        <v>3419</v>
      </c>
      <c r="E711" s="10" t="s">
        <v>3420</v>
      </c>
      <c r="F711" s="10" t="s">
        <v>3421</v>
      </c>
      <c r="H711" s="10">
        <v>2</v>
      </c>
      <c r="I711" s="10">
        <v>2021</v>
      </c>
      <c r="J711" s="10">
        <v>41</v>
      </c>
      <c r="K711" s="10">
        <v>1</v>
      </c>
      <c r="O711" s="10" t="s">
        <v>3422</v>
      </c>
    </row>
    <row r="712" spans="1:16" ht="15.75" customHeight="1">
      <c r="A712" s="1" t="s">
        <v>10</v>
      </c>
      <c r="B712" s="1" t="s">
        <v>210</v>
      </c>
      <c r="C712" s="1" t="s">
        <v>211</v>
      </c>
      <c r="D712" s="1" t="s">
        <v>212</v>
      </c>
      <c r="E712" s="1" t="s">
        <v>213</v>
      </c>
      <c r="F712" s="1" t="s">
        <v>214</v>
      </c>
      <c r="H712" s="1">
        <v>2</v>
      </c>
      <c r="I712" s="1">
        <v>2021</v>
      </c>
      <c r="J712" s="1">
        <v>22</v>
      </c>
      <c r="K712" s="1">
        <v>10</v>
      </c>
      <c r="O712" s="1" t="s">
        <v>215</v>
      </c>
    </row>
    <row r="713" spans="1:16" ht="15.75" customHeight="1">
      <c r="A713" s="1" t="s">
        <v>10</v>
      </c>
      <c r="B713" s="1" t="s">
        <v>6037</v>
      </c>
      <c r="C713" s="1"/>
      <c r="D713" s="1" t="s">
        <v>1656</v>
      </c>
      <c r="E713" s="1" t="s">
        <v>6038</v>
      </c>
      <c r="F713" s="1" t="s">
        <v>6039</v>
      </c>
      <c r="H713" s="1">
        <v>2</v>
      </c>
      <c r="I713" s="1">
        <v>2021</v>
      </c>
      <c r="J713" s="1">
        <v>21</v>
      </c>
      <c r="K713" s="1">
        <v>2</v>
      </c>
      <c r="O713" s="1" t="s">
        <v>6040</v>
      </c>
    </row>
    <row r="714" spans="1:16" ht="15.75" customHeight="1">
      <c r="A714" s="1" t="s">
        <v>0</v>
      </c>
      <c r="B714" s="1" t="s">
        <v>6047</v>
      </c>
      <c r="C714" s="1" t="s">
        <v>6048</v>
      </c>
      <c r="D714" s="1" t="s">
        <v>2378</v>
      </c>
      <c r="E714" s="1" t="s">
        <v>6049</v>
      </c>
      <c r="F714" s="1" t="s">
        <v>6050</v>
      </c>
      <c r="G714" s="1">
        <v>63</v>
      </c>
      <c r="H714" s="1">
        <v>2</v>
      </c>
      <c r="I714" s="1">
        <v>2021</v>
      </c>
      <c r="J714" s="1">
        <v>21</v>
      </c>
      <c r="K714" s="1">
        <v>2</v>
      </c>
      <c r="L714" s="1" t="s">
        <v>6</v>
      </c>
      <c r="M714" s="1" t="s">
        <v>6</v>
      </c>
      <c r="N714" s="1" t="s">
        <v>6051</v>
      </c>
      <c r="O714" s="1" t="s">
        <v>6040</v>
      </c>
      <c r="P714" s="3" t="str">
        <f>HYPERLINK("http://dx.doi.org/10.5565/rev/athenea.2836","http://dx.doi.org/10.5565/rev/athenea.2836")</f>
        <v>http://dx.doi.org/10.5565/rev/athenea.2836</v>
      </c>
    </row>
    <row r="715" spans="1:16" ht="15.75" customHeight="1">
      <c r="A715" s="1" t="s">
        <v>0</v>
      </c>
      <c r="B715" s="1" t="s">
        <v>5383</v>
      </c>
      <c r="C715" s="1" t="s">
        <v>5384</v>
      </c>
      <c r="D715" s="1" t="s">
        <v>5385</v>
      </c>
      <c r="E715" s="1" t="s">
        <v>5386</v>
      </c>
      <c r="F715" s="1" t="s">
        <v>5387</v>
      </c>
      <c r="G715" s="1">
        <v>41</v>
      </c>
      <c r="H715" s="1">
        <v>2</v>
      </c>
      <c r="I715" s="1">
        <v>2021</v>
      </c>
      <c r="J715" s="1">
        <v>28</v>
      </c>
      <c r="K715" s="1">
        <v>2</v>
      </c>
      <c r="L715" s="1">
        <v>166</v>
      </c>
      <c r="M715" s="1">
        <v>185</v>
      </c>
      <c r="N715" s="1" t="s">
        <v>6</v>
      </c>
      <c r="O715" s="1" t="s">
        <v>5388</v>
      </c>
      <c r="P715" s="3" t="str">
        <f>HYPERLINK("http://dx.doi.org/10.1080/1070289X.2019.1658394","http://dx.doi.org/10.1080/1070289X.2019.1658394")</f>
        <v>http://dx.doi.org/10.1080/1070289X.2019.1658394</v>
      </c>
    </row>
    <row r="716" spans="1:16" ht="15.75" customHeight="1">
      <c r="A716" s="1" t="s">
        <v>0</v>
      </c>
      <c r="B716" s="1" t="s">
        <v>6215</v>
      </c>
      <c r="C716" s="1" t="s">
        <v>6216</v>
      </c>
      <c r="D716" s="1" t="s">
        <v>578</v>
      </c>
      <c r="E716" s="1" t="s">
        <v>6217</v>
      </c>
      <c r="F716" s="1" t="s">
        <v>6218</v>
      </c>
      <c r="G716" s="1">
        <v>41</v>
      </c>
      <c r="H716" s="1">
        <v>2</v>
      </c>
      <c r="I716" s="1">
        <v>2021</v>
      </c>
      <c r="J716" s="1">
        <v>16</v>
      </c>
      <c r="K716" s="1" t="s">
        <v>882</v>
      </c>
      <c r="O716" s="1" t="s">
        <v>6219</v>
      </c>
    </row>
    <row r="717" spans="1:16" ht="15.75" customHeight="1">
      <c r="A717" s="1" t="s">
        <v>0</v>
      </c>
      <c r="B717" s="1" t="s">
        <v>335</v>
      </c>
      <c r="C717" s="1" t="s">
        <v>336</v>
      </c>
      <c r="D717" s="1" t="s">
        <v>337</v>
      </c>
      <c r="E717" s="1" t="s">
        <v>338</v>
      </c>
      <c r="F717" s="1" t="s">
        <v>339</v>
      </c>
      <c r="G717" s="1">
        <v>26</v>
      </c>
      <c r="H717" s="1">
        <v>2</v>
      </c>
      <c r="I717" s="1">
        <v>2021</v>
      </c>
      <c r="J717" s="1">
        <v>25</v>
      </c>
      <c r="K717" s="1" t="s">
        <v>6</v>
      </c>
      <c r="L717" s="1">
        <v>332</v>
      </c>
      <c r="M717" s="1">
        <v>347</v>
      </c>
      <c r="N717" s="1" t="s">
        <v>6</v>
      </c>
      <c r="O717" s="1" t="s">
        <v>6</v>
      </c>
      <c r="P717" s="1" t="s">
        <v>6</v>
      </c>
    </row>
    <row r="718" spans="1:16" ht="15.75" customHeight="1">
      <c r="A718" s="1" t="s">
        <v>0</v>
      </c>
      <c r="B718" s="1" t="s">
        <v>6616</v>
      </c>
      <c r="C718" s="1" t="s">
        <v>6617</v>
      </c>
      <c r="D718" s="1" t="s">
        <v>6618</v>
      </c>
      <c r="E718" s="1" t="s">
        <v>6619</v>
      </c>
      <c r="F718" s="1" t="s">
        <v>6620</v>
      </c>
      <c r="G718" s="1">
        <v>92</v>
      </c>
      <c r="H718" s="1">
        <v>2</v>
      </c>
      <c r="I718" s="1">
        <v>2021</v>
      </c>
      <c r="J718" s="1">
        <v>54</v>
      </c>
      <c r="K718" s="1">
        <v>1</v>
      </c>
      <c r="L718" s="1">
        <v>75</v>
      </c>
      <c r="M718" s="1">
        <v>93</v>
      </c>
      <c r="N718" s="1" t="s">
        <v>6</v>
      </c>
      <c r="O718" s="1" t="s">
        <v>6621</v>
      </c>
      <c r="P718" s="3" t="str">
        <f>HYPERLINK("http://dx.doi.org/10.2298/PSI200116021U","http://dx.doi.org/10.2298/PSI200116021U")</f>
        <v>http://dx.doi.org/10.2298/PSI200116021U</v>
      </c>
    </row>
    <row r="719" spans="1:16" ht="15.75" customHeight="1">
      <c r="A719" s="1" t="s">
        <v>10</v>
      </c>
      <c r="B719" s="1" t="s">
        <v>3689</v>
      </c>
      <c r="C719" s="1" t="s">
        <v>3690</v>
      </c>
      <c r="D719" s="1" t="s">
        <v>3691</v>
      </c>
      <c r="E719" s="1" t="s">
        <v>3692</v>
      </c>
      <c r="F719" s="1" t="s">
        <v>3693</v>
      </c>
      <c r="H719" s="1">
        <v>2</v>
      </c>
      <c r="I719" s="1">
        <v>2021</v>
      </c>
      <c r="J719" s="1">
        <v>15</v>
      </c>
      <c r="K719" s="1">
        <v>2</v>
      </c>
    </row>
    <row r="720" spans="1:16" ht="15.75" customHeight="1">
      <c r="A720" s="1" t="s">
        <v>0</v>
      </c>
      <c r="B720" s="1" t="s">
        <v>5686</v>
      </c>
      <c r="C720" s="1" t="s">
        <v>5687</v>
      </c>
      <c r="D720" s="1" t="s">
        <v>382</v>
      </c>
      <c r="E720" s="1" t="s">
        <v>5688</v>
      </c>
      <c r="F720" s="1" t="s">
        <v>5689</v>
      </c>
      <c r="G720" s="1">
        <v>30</v>
      </c>
      <c r="H720" s="1">
        <v>2</v>
      </c>
      <c r="I720" s="1">
        <v>2021</v>
      </c>
      <c r="J720" s="1">
        <v>15</v>
      </c>
      <c r="K720" s="1" t="s">
        <v>378</v>
      </c>
    </row>
    <row r="721" spans="1:16" ht="15.75" customHeight="1">
      <c r="A721" s="1" t="s">
        <v>0</v>
      </c>
      <c r="B721" s="1" t="s">
        <v>3047</v>
      </c>
      <c r="C721" s="1" t="s">
        <v>3048</v>
      </c>
      <c r="D721" s="1" t="s">
        <v>3049</v>
      </c>
      <c r="E721" s="1" t="s">
        <v>3050</v>
      </c>
      <c r="F721" s="1" t="s">
        <v>3051</v>
      </c>
      <c r="G721" s="1">
        <v>31</v>
      </c>
      <c r="H721" s="1">
        <v>2</v>
      </c>
      <c r="I721" s="1">
        <v>2021</v>
      </c>
      <c r="J721" s="1" t="s">
        <v>6</v>
      </c>
      <c r="K721" s="1">
        <v>48</v>
      </c>
      <c r="L721" s="1">
        <v>175</v>
      </c>
      <c r="M721" s="1">
        <v>192</v>
      </c>
      <c r="N721" s="1" t="s">
        <v>6</v>
      </c>
      <c r="O721" s="1" t="s">
        <v>3052</v>
      </c>
      <c r="P721" s="3" t="str">
        <f>HYPERLINK("http://dx.doi.org/10.7203/LEEME.48.21700","http://dx.doi.org/10.7203/LEEME.48.21700")</f>
        <v>http://dx.doi.org/10.7203/LEEME.48.21700</v>
      </c>
    </row>
    <row r="722" spans="1:16" ht="15.75" customHeight="1">
      <c r="A722" s="1" t="s">
        <v>0</v>
      </c>
      <c r="B722" s="1" t="s">
        <v>3605</v>
      </c>
      <c r="C722" s="1" t="s">
        <v>3606</v>
      </c>
      <c r="D722" s="1" t="s">
        <v>3565</v>
      </c>
      <c r="E722" s="1" t="s">
        <v>7106</v>
      </c>
      <c r="F722" s="1" t="s">
        <v>3607</v>
      </c>
      <c r="G722" s="1">
        <v>39</v>
      </c>
      <c r="H722" s="1">
        <v>1</v>
      </c>
      <c r="I722" s="1">
        <v>2021</v>
      </c>
      <c r="J722" s="1">
        <v>12</v>
      </c>
      <c r="O722" s="1" t="s">
        <v>3608</v>
      </c>
    </row>
    <row r="723" spans="1:16" ht="15.75" customHeight="1">
      <c r="A723" s="1" t="s">
        <v>10</v>
      </c>
      <c r="B723" s="1" t="s">
        <v>2801</v>
      </c>
      <c r="C723" s="1" t="s">
        <v>2802</v>
      </c>
      <c r="D723" s="1" t="s">
        <v>2467</v>
      </c>
      <c r="E723" s="1" t="s">
        <v>7107</v>
      </c>
      <c r="F723" s="1" t="s">
        <v>2803</v>
      </c>
      <c r="H723" s="1">
        <v>1</v>
      </c>
      <c r="I723" s="1">
        <v>2021</v>
      </c>
      <c r="J723" s="1">
        <v>21</v>
      </c>
      <c r="K723" s="1">
        <v>4</v>
      </c>
      <c r="O723" s="1" t="s">
        <v>2804</v>
      </c>
    </row>
    <row r="724" spans="1:16" ht="15.75" customHeight="1">
      <c r="A724" s="1" t="s">
        <v>10</v>
      </c>
      <c r="B724" s="1" t="s">
        <v>6867</v>
      </c>
      <c r="C724" s="1" t="s">
        <v>6868</v>
      </c>
      <c r="D724" s="1" t="s">
        <v>1243</v>
      </c>
      <c r="E724" s="1" t="s">
        <v>6869</v>
      </c>
      <c r="F724" s="1" t="s">
        <v>6870</v>
      </c>
      <c r="H724" s="1">
        <v>1</v>
      </c>
      <c r="I724" s="1">
        <v>2021</v>
      </c>
      <c r="J724" s="1">
        <v>157</v>
      </c>
      <c r="K724" s="1">
        <v>3</v>
      </c>
      <c r="O724" s="1" t="s">
        <v>6871</v>
      </c>
    </row>
    <row r="725" spans="1:16" ht="15.75" customHeight="1">
      <c r="A725" s="1" t="s">
        <v>463</v>
      </c>
      <c r="B725" s="1" t="s">
        <v>5690</v>
      </c>
      <c r="C725" s="1" t="s">
        <v>5691</v>
      </c>
      <c r="D725" s="1" t="s">
        <v>5692</v>
      </c>
      <c r="E725" s="1" t="s">
        <v>5693</v>
      </c>
      <c r="F725" s="1" t="s">
        <v>5694</v>
      </c>
      <c r="H725" s="1">
        <v>1</v>
      </c>
      <c r="I725" s="1">
        <v>2021</v>
      </c>
      <c r="J725" s="1">
        <v>26</v>
      </c>
      <c r="O725" s="1" t="s">
        <v>5695</v>
      </c>
    </row>
    <row r="726" spans="1:16" ht="15.75" customHeight="1">
      <c r="A726" s="1" t="s">
        <v>0</v>
      </c>
      <c r="B726" s="1" t="s">
        <v>1013</v>
      </c>
      <c r="C726" s="1" t="s">
        <v>1014</v>
      </c>
      <c r="D726" s="1" t="s">
        <v>1015</v>
      </c>
      <c r="E726" s="1" t="s">
        <v>1016</v>
      </c>
      <c r="F726" s="1" t="s">
        <v>1017</v>
      </c>
      <c r="G726" s="1">
        <v>49</v>
      </c>
      <c r="H726" s="1">
        <v>1</v>
      </c>
      <c r="I726" s="1">
        <v>2021</v>
      </c>
      <c r="J726" s="1">
        <v>70</v>
      </c>
      <c r="K726" s="1" t="s">
        <v>6</v>
      </c>
      <c r="L726" s="1">
        <v>33</v>
      </c>
      <c r="M726" s="1">
        <v>60</v>
      </c>
      <c r="N726" s="1" t="s">
        <v>6</v>
      </c>
      <c r="O726" s="1" t="s">
        <v>1018</v>
      </c>
      <c r="P726" s="3" t="str">
        <f>HYPERLINK("http://dx.doi.org/10.30827/meaharabe.v70i0.15250","http://dx.doi.org/10.30827/meaharabe.v70i0.15250")</f>
        <v>http://dx.doi.org/10.30827/meaharabe.v70i0.15250</v>
      </c>
    </row>
    <row r="727" spans="1:16" ht="15.75" customHeight="1">
      <c r="A727" s="1" t="s">
        <v>0</v>
      </c>
      <c r="B727" s="1" t="s">
        <v>1420</v>
      </c>
      <c r="C727" s="1" t="s">
        <v>1421</v>
      </c>
      <c r="D727" s="1" t="s">
        <v>1422</v>
      </c>
      <c r="E727" s="1" t="s">
        <v>1423</v>
      </c>
      <c r="F727" s="1" t="s">
        <v>1424</v>
      </c>
      <c r="G727" s="1">
        <v>81</v>
      </c>
      <c r="H727" s="1">
        <v>1</v>
      </c>
      <c r="I727" s="1">
        <v>2021</v>
      </c>
      <c r="J727" s="1">
        <v>22</v>
      </c>
      <c r="K727" s="1">
        <v>2</v>
      </c>
      <c r="L727" s="1">
        <v>157</v>
      </c>
      <c r="M727" s="1">
        <v>168</v>
      </c>
      <c r="N727" s="1" t="s">
        <v>6</v>
      </c>
      <c r="O727" s="1" t="s">
        <v>1425</v>
      </c>
      <c r="P727" s="3" t="str">
        <f>HYPERLINK("http://dx.doi.org/10.37176/iea.22.2.2021.610","http://dx.doi.org/10.37176/iea.22.2.2021.610")</f>
        <v>http://dx.doi.org/10.37176/iea.22.2.2021.610</v>
      </c>
    </row>
    <row r="728" spans="1:16" ht="15.75" customHeight="1">
      <c r="A728" s="1" t="s">
        <v>31</v>
      </c>
      <c r="B728" s="1" t="s">
        <v>2846</v>
      </c>
      <c r="C728" s="1" t="s">
        <v>2847</v>
      </c>
      <c r="D728" s="1" t="s">
        <v>2847</v>
      </c>
      <c r="E728" s="1" t="s">
        <v>2848</v>
      </c>
      <c r="F728" s="1" t="s">
        <v>2849</v>
      </c>
      <c r="H728" s="1">
        <v>1</v>
      </c>
      <c r="I728" s="1">
        <v>2021</v>
      </c>
      <c r="O728" s="1" t="s">
        <v>2850</v>
      </c>
    </row>
    <row r="729" spans="1:16" ht="15.75" customHeight="1">
      <c r="A729" s="1" t="s">
        <v>0</v>
      </c>
      <c r="B729" s="1" t="s">
        <v>2908</v>
      </c>
      <c r="C729" s="1" t="s">
        <v>2909</v>
      </c>
      <c r="D729" s="1" t="s">
        <v>2910</v>
      </c>
      <c r="E729" s="1" t="s">
        <v>2911</v>
      </c>
      <c r="F729" s="1" t="s">
        <v>2912</v>
      </c>
      <c r="G729" s="1">
        <v>80</v>
      </c>
      <c r="H729" s="1">
        <v>1</v>
      </c>
      <c r="I729" s="1">
        <v>2021</v>
      </c>
      <c r="J729" s="1">
        <v>22</v>
      </c>
      <c r="K729" s="1" t="s">
        <v>6</v>
      </c>
      <c r="L729" s="1" t="s">
        <v>6</v>
      </c>
      <c r="M729" s="1" t="s">
        <v>6</v>
      </c>
      <c r="N729" s="1" t="s">
        <v>2913</v>
      </c>
      <c r="O729" s="1" t="s">
        <v>2914</v>
      </c>
      <c r="P729" s="3" t="str">
        <f>HYPERLINK("http://dx.doi.org/10.21670/ref.2107070","http://dx.doi.org/10.21670/ref.2107070")</f>
        <v>http://dx.doi.org/10.21670/ref.2107070</v>
      </c>
    </row>
    <row r="730" spans="1:16" ht="15.75" customHeight="1">
      <c r="A730" s="1" t="s">
        <v>463</v>
      </c>
      <c r="B730" s="1" t="s">
        <v>6200</v>
      </c>
      <c r="C730" s="1" t="s">
        <v>6201</v>
      </c>
      <c r="D730" s="1" t="s">
        <v>6202</v>
      </c>
      <c r="E730" s="1" t="s">
        <v>6203</v>
      </c>
      <c r="F730" s="1" t="s">
        <v>6204</v>
      </c>
      <c r="H730" s="1">
        <v>1</v>
      </c>
      <c r="I730" s="1">
        <v>2021</v>
      </c>
      <c r="O730" s="1" t="s">
        <v>6205</v>
      </c>
    </row>
    <row r="731" spans="1:16" ht="15.75" customHeight="1">
      <c r="A731" s="1" t="s">
        <v>31</v>
      </c>
      <c r="B731" s="1" t="s">
        <v>2696</v>
      </c>
      <c r="C731" s="1" t="s">
        <v>2706</v>
      </c>
      <c r="D731" s="1" t="s">
        <v>2706</v>
      </c>
      <c r="E731" s="1" t="s">
        <v>2707</v>
      </c>
      <c r="F731" s="1" t="s">
        <v>2708</v>
      </c>
      <c r="H731" s="1">
        <v>1</v>
      </c>
      <c r="I731" s="1">
        <v>2021</v>
      </c>
      <c r="O731" s="1" t="s">
        <v>2709</v>
      </c>
    </row>
    <row r="732" spans="1:16" ht="15.75" customHeight="1">
      <c r="A732" s="1" t="s">
        <v>10</v>
      </c>
      <c r="B732" s="1" t="s">
        <v>5504</v>
      </c>
      <c r="C732" s="1" t="s">
        <v>5505</v>
      </c>
      <c r="D732" s="1" t="s">
        <v>5506</v>
      </c>
      <c r="E732" s="1" t="s">
        <v>5507</v>
      </c>
      <c r="F732" s="1" t="s">
        <v>5508</v>
      </c>
      <c r="H732" s="1">
        <v>1</v>
      </c>
      <c r="I732" s="1">
        <v>2021</v>
      </c>
      <c r="J732" s="1">
        <v>5</v>
      </c>
      <c r="K732" s="1">
        <v>2</v>
      </c>
      <c r="O732" s="1" t="s">
        <v>5509</v>
      </c>
    </row>
    <row r="733" spans="1:16" ht="15.75" customHeight="1">
      <c r="A733" s="1" t="s">
        <v>0</v>
      </c>
      <c r="B733" s="1" t="s">
        <v>6825</v>
      </c>
      <c r="C733" s="1" t="s">
        <v>6826</v>
      </c>
      <c r="D733" s="1" t="s">
        <v>4196</v>
      </c>
      <c r="E733" s="1" t="s">
        <v>6827</v>
      </c>
      <c r="F733" s="1" t="s">
        <v>6828</v>
      </c>
      <c r="G733" s="1">
        <v>67</v>
      </c>
      <c r="H733" s="1">
        <v>1</v>
      </c>
      <c r="I733" s="1">
        <v>2021</v>
      </c>
      <c r="K733" s="1" t="s">
        <v>2558</v>
      </c>
      <c r="O733" s="1" t="s">
        <v>6829</v>
      </c>
    </row>
    <row r="734" spans="1:16" ht="15.75" customHeight="1">
      <c r="A734" s="1" t="s">
        <v>10</v>
      </c>
      <c r="B734" s="1" t="s">
        <v>1896</v>
      </c>
      <c r="C734" s="1" t="s">
        <v>1897</v>
      </c>
      <c r="D734" s="1" t="s">
        <v>1898</v>
      </c>
      <c r="E734" s="1" t="s">
        <v>1899</v>
      </c>
      <c r="F734" s="1" t="s">
        <v>1900</v>
      </c>
      <c r="H734" s="1">
        <v>1</v>
      </c>
      <c r="I734" s="1">
        <v>2021</v>
      </c>
      <c r="J734" s="1">
        <v>48</v>
      </c>
      <c r="K734" s="1">
        <v>88</v>
      </c>
      <c r="O734" s="1" t="s">
        <v>1901</v>
      </c>
    </row>
    <row r="735" spans="1:16" ht="15.75" customHeight="1">
      <c r="A735" s="1" t="s">
        <v>463</v>
      </c>
      <c r="B735" s="1" t="s">
        <v>464</v>
      </c>
      <c r="C735" s="1" t="s">
        <v>465</v>
      </c>
      <c r="D735" s="1" t="s">
        <v>466</v>
      </c>
      <c r="E735" s="1" t="s">
        <v>467</v>
      </c>
      <c r="F735" s="1" t="s">
        <v>468</v>
      </c>
      <c r="H735" s="1">
        <v>1</v>
      </c>
      <c r="I735" s="1">
        <v>2021</v>
      </c>
      <c r="J735" s="1" t="s">
        <v>469</v>
      </c>
      <c r="O735" s="1" t="s">
        <v>470</v>
      </c>
    </row>
    <row r="736" spans="1:16" ht="15.75" customHeight="1">
      <c r="A736" s="1" t="s">
        <v>31</v>
      </c>
      <c r="B736" s="1" t="s">
        <v>438</v>
      </c>
      <c r="C736" s="1" t="s">
        <v>439</v>
      </c>
      <c r="D736" s="1" t="s">
        <v>440</v>
      </c>
      <c r="E736" s="1" t="s">
        <v>441</v>
      </c>
      <c r="F736" s="1" t="s">
        <v>442</v>
      </c>
      <c r="H736" s="1">
        <v>1</v>
      </c>
      <c r="I736" s="1">
        <v>2021</v>
      </c>
      <c r="O736" s="1" t="s">
        <v>443</v>
      </c>
    </row>
    <row r="737" spans="1:16" ht="15.75" customHeight="1">
      <c r="A737" s="1" t="s">
        <v>10</v>
      </c>
      <c r="B737" s="1" t="s">
        <v>357</v>
      </c>
      <c r="C737" s="1" t="s">
        <v>358</v>
      </c>
      <c r="D737" s="1" t="s">
        <v>359</v>
      </c>
      <c r="E737" s="1" t="s">
        <v>360</v>
      </c>
      <c r="F737" s="1" t="s">
        <v>361</v>
      </c>
      <c r="H737" s="1">
        <v>1</v>
      </c>
      <c r="I737" s="1">
        <v>2021</v>
      </c>
      <c r="J737" s="1">
        <v>21</v>
      </c>
      <c r="K737" s="1">
        <v>2</v>
      </c>
      <c r="O737" s="1" t="s">
        <v>362</v>
      </c>
    </row>
    <row r="738" spans="1:16" ht="15.75" customHeight="1">
      <c r="A738" s="1" t="s">
        <v>10</v>
      </c>
      <c r="B738" s="1" t="s">
        <v>4771</v>
      </c>
      <c r="C738" s="1" t="s">
        <v>4772</v>
      </c>
      <c r="D738" s="1" t="s">
        <v>4773</v>
      </c>
      <c r="E738" s="1" t="s">
        <v>4774</v>
      </c>
      <c r="F738" s="1" t="s">
        <v>4775</v>
      </c>
      <c r="H738" s="1">
        <v>1</v>
      </c>
      <c r="I738" s="1">
        <v>2021</v>
      </c>
      <c r="J738" s="1">
        <v>28</v>
      </c>
      <c r="O738" s="1" t="s">
        <v>4776</v>
      </c>
    </row>
    <row r="739" spans="1:16" ht="15.75" customHeight="1">
      <c r="A739" s="1" t="s">
        <v>10</v>
      </c>
      <c r="B739" s="1" t="s">
        <v>5290</v>
      </c>
      <c r="C739" s="1" t="s">
        <v>5291</v>
      </c>
      <c r="D739" s="1" t="s">
        <v>5292</v>
      </c>
      <c r="E739" s="1" t="s">
        <v>5293</v>
      </c>
      <c r="F739" s="1" t="s">
        <v>5294</v>
      </c>
      <c r="H739" s="1">
        <v>1</v>
      </c>
      <c r="I739" s="1">
        <v>2021</v>
      </c>
      <c r="J739" s="1">
        <v>8</v>
      </c>
      <c r="K739" s="1">
        <v>1</v>
      </c>
      <c r="O739" s="1" t="s">
        <v>5295</v>
      </c>
    </row>
    <row r="740" spans="1:16" ht="15.75" customHeight="1">
      <c r="A740" s="1" t="s">
        <v>463</v>
      </c>
      <c r="B740" s="1" t="s">
        <v>5470</v>
      </c>
      <c r="C740" s="1" t="s">
        <v>5471</v>
      </c>
      <c r="D740" s="1" t="s">
        <v>2847</v>
      </c>
      <c r="E740" s="1" t="s">
        <v>5472</v>
      </c>
      <c r="F740" s="1" t="s">
        <v>5473</v>
      </c>
      <c r="H740" s="1">
        <v>1</v>
      </c>
      <c r="I740" s="1">
        <v>2021</v>
      </c>
      <c r="O740" s="1" t="s">
        <v>5474</v>
      </c>
    </row>
    <row r="741" spans="1:16" ht="15.75" customHeight="1">
      <c r="A741" s="1" t="s">
        <v>463</v>
      </c>
      <c r="B741" s="1" t="s">
        <v>2715</v>
      </c>
      <c r="C741" s="1" t="s">
        <v>2720</v>
      </c>
      <c r="D741" s="1" t="s">
        <v>466</v>
      </c>
      <c r="E741" s="1" t="s">
        <v>2721</v>
      </c>
      <c r="F741" s="1" t="s">
        <v>2722</v>
      </c>
      <c r="H741" s="1">
        <v>1</v>
      </c>
      <c r="I741" s="1">
        <v>2021</v>
      </c>
      <c r="J741" s="1" t="s">
        <v>2704</v>
      </c>
      <c r="O741" s="1" t="s">
        <v>2723</v>
      </c>
    </row>
    <row r="742" spans="1:16" ht="15.75" customHeight="1">
      <c r="A742" s="1" t="s">
        <v>10</v>
      </c>
      <c r="B742" s="1" t="s">
        <v>3818</v>
      </c>
      <c r="C742" s="1" t="s">
        <v>3819</v>
      </c>
      <c r="D742" s="1" t="s">
        <v>3820</v>
      </c>
      <c r="E742" s="1" t="s">
        <v>3821</v>
      </c>
      <c r="F742" s="1" t="s">
        <v>3822</v>
      </c>
      <c r="H742" s="1">
        <v>1</v>
      </c>
      <c r="I742" s="1">
        <v>2021</v>
      </c>
      <c r="K742" s="1">
        <v>32</v>
      </c>
      <c r="O742" s="1" t="s">
        <v>3823</v>
      </c>
    </row>
    <row r="743" spans="1:16" ht="15.75" customHeight="1">
      <c r="A743" s="1" t="s">
        <v>10</v>
      </c>
      <c r="B743" s="1" t="s">
        <v>2829</v>
      </c>
      <c r="C743" s="1" t="s">
        <v>2830</v>
      </c>
      <c r="D743" s="1" t="s">
        <v>2831</v>
      </c>
      <c r="E743" s="1" t="s">
        <v>2832</v>
      </c>
      <c r="F743" s="1" t="s">
        <v>2833</v>
      </c>
      <c r="H743" s="1">
        <v>1</v>
      </c>
      <c r="I743" s="1">
        <v>2021</v>
      </c>
      <c r="J743" s="1">
        <v>14</v>
      </c>
      <c r="K743" s="1">
        <v>1</v>
      </c>
      <c r="O743" s="1" t="s">
        <v>2834</v>
      </c>
    </row>
    <row r="744" spans="1:16" ht="15.75" customHeight="1">
      <c r="A744" s="1" t="s">
        <v>10</v>
      </c>
      <c r="B744" s="1" t="s">
        <v>2970</v>
      </c>
      <c r="C744" s="1" t="s">
        <v>2971</v>
      </c>
      <c r="D744" s="1" t="s">
        <v>500</v>
      </c>
      <c r="E744" s="1" t="s">
        <v>2972</v>
      </c>
      <c r="F744" s="1" t="s">
        <v>2973</v>
      </c>
      <c r="H744" s="1">
        <v>1</v>
      </c>
      <c r="I744" s="1">
        <v>2021</v>
      </c>
      <c r="J744" s="1">
        <v>58</v>
      </c>
      <c r="K744" s="1">
        <v>1</v>
      </c>
      <c r="O744" s="1" t="s">
        <v>2974</v>
      </c>
    </row>
    <row r="745" spans="1:16" ht="15.75" customHeight="1">
      <c r="A745" s="1" t="s">
        <v>0</v>
      </c>
      <c r="B745" s="1" t="s">
        <v>3488</v>
      </c>
      <c r="C745" s="1" t="s">
        <v>3489</v>
      </c>
      <c r="D745" s="1" t="s">
        <v>1645</v>
      </c>
      <c r="E745" s="1" t="s">
        <v>3490</v>
      </c>
      <c r="F745" s="1" t="s">
        <v>3491</v>
      </c>
      <c r="G745" s="1">
        <v>58</v>
      </c>
      <c r="H745" s="1">
        <v>1</v>
      </c>
      <c r="I745" s="1">
        <v>2021</v>
      </c>
      <c r="J745" s="1">
        <v>106</v>
      </c>
      <c r="K745" s="1">
        <v>4</v>
      </c>
      <c r="L745" s="1">
        <v>555</v>
      </c>
      <c r="M745" s="1">
        <v>582</v>
      </c>
      <c r="N745" s="1" t="s">
        <v>6</v>
      </c>
      <c r="O745" s="1" t="s">
        <v>3492</v>
      </c>
      <c r="P745" s="3" t="str">
        <f>HYPERLINK("http://dx.doi.org/10.5565/rev/papers.2922","http://dx.doi.org/10.5565/rev/papers.2922")</f>
        <v>http://dx.doi.org/10.5565/rev/papers.2922</v>
      </c>
    </row>
    <row r="746" spans="1:16" ht="15.75" customHeight="1">
      <c r="A746" s="1" t="s">
        <v>0</v>
      </c>
      <c r="B746" s="1" t="s">
        <v>5090</v>
      </c>
      <c r="C746" s="1" t="s">
        <v>5091</v>
      </c>
      <c r="D746" s="1" t="s">
        <v>2513</v>
      </c>
      <c r="E746" s="1" t="s">
        <v>5092</v>
      </c>
      <c r="F746" s="1" t="s">
        <v>5093</v>
      </c>
      <c r="G746" s="1">
        <v>43</v>
      </c>
      <c r="H746" s="1">
        <v>1</v>
      </c>
      <c r="I746" s="1">
        <v>2021</v>
      </c>
      <c r="K746" s="1" t="s">
        <v>5063</v>
      </c>
      <c r="O746" s="1" t="s">
        <v>5094</v>
      </c>
    </row>
    <row r="747" spans="1:16" ht="15.75" customHeight="1">
      <c r="A747" s="1" t="s">
        <v>463</v>
      </c>
      <c r="B747" s="1" t="s">
        <v>2715</v>
      </c>
      <c r="C747" s="1" t="s">
        <v>2716</v>
      </c>
      <c r="D747" s="1" t="s">
        <v>466</v>
      </c>
      <c r="E747" s="1" t="s">
        <v>2717</v>
      </c>
      <c r="F747" s="1" t="s">
        <v>2718</v>
      </c>
      <c r="H747" s="1">
        <v>1</v>
      </c>
      <c r="I747" s="1">
        <v>2021</v>
      </c>
      <c r="J747" s="1" t="s">
        <v>2704</v>
      </c>
      <c r="O747" s="1" t="s">
        <v>2719</v>
      </c>
    </row>
    <row r="748" spans="1:16" ht="15.75" customHeight="1">
      <c r="A748" s="1" t="s">
        <v>10</v>
      </c>
      <c r="B748" s="1" t="s">
        <v>6732</v>
      </c>
      <c r="C748" s="1" t="s">
        <v>6733</v>
      </c>
      <c r="D748" s="1" t="s">
        <v>1440</v>
      </c>
      <c r="E748" s="1" t="s">
        <v>6734</v>
      </c>
      <c r="F748" s="1" t="s">
        <v>6735</v>
      </c>
      <c r="H748" s="1">
        <v>1</v>
      </c>
      <c r="I748" s="1">
        <v>2021</v>
      </c>
      <c r="J748" s="1">
        <v>30</v>
      </c>
      <c r="K748" s="1">
        <v>4</v>
      </c>
    </row>
    <row r="749" spans="1:16" ht="15.75" customHeight="1">
      <c r="A749" s="1" t="s">
        <v>10</v>
      </c>
      <c r="B749" s="1" t="s">
        <v>274</v>
      </c>
      <c r="C749" s="1" t="s">
        <v>275</v>
      </c>
      <c r="D749" s="1" t="s">
        <v>276</v>
      </c>
      <c r="E749" s="1" t="s">
        <v>277</v>
      </c>
      <c r="F749" s="1" t="s">
        <v>278</v>
      </c>
      <c r="H749" s="1">
        <v>1</v>
      </c>
      <c r="I749" s="1">
        <v>2021</v>
      </c>
      <c r="J749" s="1">
        <v>53</v>
      </c>
      <c r="O749" s="1" t="s">
        <v>279</v>
      </c>
    </row>
    <row r="750" spans="1:16" ht="15.75" customHeight="1">
      <c r="A750" s="1" t="s">
        <v>0</v>
      </c>
      <c r="B750" s="1" t="s">
        <v>1267</v>
      </c>
      <c r="C750" s="1" t="s">
        <v>1268</v>
      </c>
      <c r="D750" s="1" t="s">
        <v>1269</v>
      </c>
      <c r="E750" s="1" t="s">
        <v>1270</v>
      </c>
      <c r="F750" s="1" t="s">
        <v>1271</v>
      </c>
      <c r="G750" s="1">
        <v>59</v>
      </c>
      <c r="H750" s="1">
        <v>1</v>
      </c>
      <c r="I750" s="1">
        <v>2021</v>
      </c>
      <c r="J750" s="1">
        <v>7</v>
      </c>
      <c r="K750" s="1" t="s">
        <v>61</v>
      </c>
    </row>
    <row r="751" spans="1:16" ht="15.75" customHeight="1">
      <c r="A751" s="1" t="s">
        <v>0</v>
      </c>
      <c r="B751" s="1" t="s">
        <v>883</v>
      </c>
      <c r="C751" s="1" t="s">
        <v>884</v>
      </c>
      <c r="D751" s="1" t="s">
        <v>885</v>
      </c>
      <c r="E751" s="1" t="s">
        <v>886</v>
      </c>
      <c r="F751" s="1" t="s">
        <v>887</v>
      </c>
      <c r="G751" s="1">
        <v>32</v>
      </c>
      <c r="H751" s="1">
        <v>1</v>
      </c>
      <c r="I751" s="1">
        <v>2021</v>
      </c>
      <c r="J751" s="1">
        <v>56</v>
      </c>
      <c r="K751" s="1" t="s">
        <v>61</v>
      </c>
      <c r="O751" s="1" t="s">
        <v>888</v>
      </c>
    </row>
    <row r="752" spans="1:16" ht="15.75" customHeight="1">
      <c r="A752" s="1" t="s">
        <v>0</v>
      </c>
      <c r="B752" s="1" t="s">
        <v>4496</v>
      </c>
      <c r="C752" s="1" t="s">
        <v>4497</v>
      </c>
      <c r="D752" s="1" t="s">
        <v>1933</v>
      </c>
      <c r="E752" s="1" t="s">
        <v>4498</v>
      </c>
      <c r="F752" s="1" t="s">
        <v>4499</v>
      </c>
      <c r="G752" s="1">
        <v>33</v>
      </c>
      <c r="H752" s="1">
        <v>1</v>
      </c>
      <c r="I752" s="1">
        <v>2021</v>
      </c>
      <c r="J752" s="1">
        <v>47</v>
      </c>
      <c r="K752" s="1">
        <v>142</v>
      </c>
      <c r="L752" s="1">
        <v>165</v>
      </c>
      <c r="M752" s="1">
        <v>184</v>
      </c>
      <c r="N752" s="1" t="s">
        <v>6</v>
      </c>
      <c r="O752" s="1" t="s">
        <v>4500</v>
      </c>
      <c r="P752" s="3" t="str">
        <f>HYPERLINK("http://dx.doi.org/10.7764/eure.47.142.08","http://dx.doi.org/10.7764/eure.47.142.08")</f>
        <v>http://dx.doi.org/10.7764/eure.47.142.08</v>
      </c>
    </row>
    <row r="753" spans="1:16" ht="15.75" customHeight="1">
      <c r="A753" s="1" t="s">
        <v>0</v>
      </c>
      <c r="B753" s="1" t="s">
        <v>2748</v>
      </c>
      <c r="C753" s="1" t="s">
        <v>2749</v>
      </c>
      <c r="D753" s="1" t="s">
        <v>2664</v>
      </c>
      <c r="E753" s="8" t="s">
        <v>7122</v>
      </c>
      <c r="F753" s="1" t="s">
        <v>6</v>
      </c>
      <c r="G753" s="1">
        <v>26</v>
      </c>
      <c r="H753" s="1">
        <v>0</v>
      </c>
      <c r="I753" s="1">
        <v>2021</v>
      </c>
      <c r="J753" s="1">
        <v>8</v>
      </c>
      <c r="K753" s="1">
        <v>2</v>
      </c>
      <c r="L753" s="1">
        <v>1</v>
      </c>
      <c r="M753" s="1">
        <v>10</v>
      </c>
      <c r="N753" s="1" t="s">
        <v>6</v>
      </c>
      <c r="O753" s="1" t="s">
        <v>2750</v>
      </c>
      <c r="P753" s="3" t="str">
        <f>HYPERLINK("http://dx.doi.org/10.47456/simbitica.v8i2.36376","http://dx.doi.org/10.47456/simbitica.v8i2.36376")</f>
        <v>http://dx.doi.org/10.47456/simbitica.v8i2.36376</v>
      </c>
    </row>
    <row r="754" spans="1:16" ht="15.75" customHeight="1">
      <c r="A754" s="1" t="s">
        <v>10</v>
      </c>
      <c r="B754" s="1" t="s">
        <v>3392</v>
      </c>
      <c r="C754" s="1" t="s">
        <v>3393</v>
      </c>
      <c r="D754" s="1" t="s">
        <v>1285</v>
      </c>
      <c r="E754" s="1" t="s">
        <v>3394</v>
      </c>
      <c r="F754" s="1" t="s">
        <v>1767</v>
      </c>
      <c r="H754" s="1">
        <v>0</v>
      </c>
      <c r="I754" s="1">
        <v>2021</v>
      </c>
      <c r="J754" s="1">
        <v>25</v>
      </c>
      <c r="K754" s="1">
        <v>6</v>
      </c>
      <c r="O754" s="1" t="s">
        <v>3395</v>
      </c>
    </row>
    <row r="755" spans="1:16" ht="15.75" customHeight="1">
      <c r="A755" s="1" t="s">
        <v>0</v>
      </c>
      <c r="B755" s="1" t="s">
        <v>5250</v>
      </c>
      <c r="C755" s="1" t="s">
        <v>5251</v>
      </c>
      <c r="D755" s="1" t="s">
        <v>5252</v>
      </c>
      <c r="E755" s="1" t="s">
        <v>5253</v>
      </c>
      <c r="F755" s="1" t="s">
        <v>5254</v>
      </c>
      <c r="G755" s="1">
        <v>33</v>
      </c>
      <c r="H755" s="1">
        <v>0</v>
      </c>
      <c r="I755" s="1">
        <v>2021</v>
      </c>
      <c r="J755" s="1">
        <v>10</v>
      </c>
      <c r="K755" s="1">
        <v>8</v>
      </c>
      <c r="L755" s="1" t="s">
        <v>6</v>
      </c>
      <c r="M755" s="1" t="s">
        <v>6</v>
      </c>
      <c r="N755" s="1">
        <v>293</v>
      </c>
      <c r="O755" s="1" t="s">
        <v>5255</v>
      </c>
      <c r="P755" s="3" t="str">
        <f>HYPERLINK("http://dx.doi.org/10.3390/socsci10080293","http://dx.doi.org/10.3390/socsci10080293")</f>
        <v>http://dx.doi.org/10.3390/socsci10080293</v>
      </c>
    </row>
    <row r="756" spans="1:16" ht="15.75" customHeight="1">
      <c r="A756" s="1" t="s">
        <v>0</v>
      </c>
      <c r="B756" s="1" t="s">
        <v>5521</v>
      </c>
      <c r="C756" s="1" t="s">
        <v>5522</v>
      </c>
      <c r="D756" s="1" t="s">
        <v>996</v>
      </c>
      <c r="E756" s="1" t="s">
        <v>5523</v>
      </c>
      <c r="F756" s="1" t="s">
        <v>5524</v>
      </c>
      <c r="G756" s="1">
        <v>81</v>
      </c>
      <c r="H756" s="1">
        <v>0</v>
      </c>
      <c r="I756" s="1">
        <v>2021</v>
      </c>
      <c r="J756" s="1">
        <v>31</v>
      </c>
      <c r="K756" s="1">
        <v>1</v>
      </c>
      <c r="L756" s="1">
        <v>522</v>
      </c>
      <c r="M756" s="1">
        <v>547</v>
      </c>
      <c r="N756" s="1" t="s">
        <v>6</v>
      </c>
      <c r="O756" s="1" t="s">
        <v>5525</v>
      </c>
      <c r="P756" s="3" t="str">
        <f>HYPERLINK("http://dx.doi.org/10.7770/CUHSO-V31N1.ART2148","http://dx.doi.org/10.7770/CUHSO-V31N1.ART2148")</f>
        <v>http://dx.doi.org/10.7770/CUHSO-V31N1.ART2148</v>
      </c>
    </row>
    <row r="757" spans="1:16" ht="15.75" customHeight="1">
      <c r="A757" s="1" t="s">
        <v>0</v>
      </c>
      <c r="B757" s="1" t="s">
        <v>234</v>
      </c>
      <c r="C757" s="1" t="s">
        <v>235</v>
      </c>
      <c r="D757" s="1" t="s">
        <v>236</v>
      </c>
      <c r="E757" s="1" t="s">
        <v>237</v>
      </c>
      <c r="F757" s="1" t="s">
        <v>238</v>
      </c>
      <c r="G757" s="1">
        <v>41</v>
      </c>
      <c r="H757" s="1">
        <v>0</v>
      </c>
      <c r="I757" s="1">
        <v>2021</v>
      </c>
      <c r="J757" s="1">
        <v>44</v>
      </c>
      <c r="K757" s="1">
        <v>1</v>
      </c>
      <c r="L757" s="1" t="s">
        <v>6</v>
      </c>
      <c r="M757" s="1" t="s">
        <v>6</v>
      </c>
      <c r="N757" s="1" t="s">
        <v>6</v>
      </c>
      <c r="O757" s="1" t="s">
        <v>6</v>
      </c>
      <c r="P757" s="1" t="s">
        <v>6</v>
      </c>
    </row>
    <row r="758" spans="1:16" ht="15.75" customHeight="1">
      <c r="A758" s="1" t="s">
        <v>0</v>
      </c>
      <c r="B758" s="1" t="s">
        <v>4439</v>
      </c>
      <c r="C758" s="1" t="s">
        <v>4440</v>
      </c>
      <c r="D758" s="1" t="s">
        <v>4441</v>
      </c>
      <c r="E758" s="1" t="s">
        <v>4442</v>
      </c>
      <c r="F758" s="1" t="s">
        <v>4443</v>
      </c>
      <c r="G758" s="1">
        <v>32</v>
      </c>
      <c r="H758" s="1">
        <v>0</v>
      </c>
      <c r="I758" s="1">
        <v>2021</v>
      </c>
      <c r="J758" s="1">
        <v>27</v>
      </c>
      <c r="K758" s="1">
        <v>2</v>
      </c>
      <c r="L758" s="1">
        <v>199</v>
      </c>
      <c r="M758" s="1">
        <v>209</v>
      </c>
      <c r="N758" s="1" t="s">
        <v>6</v>
      </c>
      <c r="O758" s="1" t="s">
        <v>4444</v>
      </c>
      <c r="P758" s="3" t="str">
        <f>HYPERLINK("http://dx.doi.org/10.5093/psed2021a6","http://dx.doi.org/10.5093/psed2021a6")</f>
        <v>http://dx.doi.org/10.5093/psed2021a6</v>
      </c>
    </row>
    <row r="759" spans="1:16" ht="15.75" customHeight="1">
      <c r="A759" s="1" t="s">
        <v>10</v>
      </c>
      <c r="B759" s="1" t="s">
        <v>2991</v>
      </c>
      <c r="C759" s="1" t="s">
        <v>2992</v>
      </c>
      <c r="D759" s="1" t="s">
        <v>2993</v>
      </c>
      <c r="E759" s="1" t="s">
        <v>2994</v>
      </c>
      <c r="F759" s="1" t="s">
        <v>2995</v>
      </c>
      <c r="H759" s="1">
        <v>0</v>
      </c>
      <c r="I759" s="1">
        <v>2021</v>
      </c>
      <c r="J759" s="1">
        <v>19</v>
      </c>
      <c r="K759" s="1" t="s">
        <v>2996</v>
      </c>
      <c r="O759" s="1" t="s">
        <v>2997</v>
      </c>
    </row>
    <row r="760" spans="1:16" ht="15.75" customHeight="1">
      <c r="A760" s="1" t="s">
        <v>0</v>
      </c>
      <c r="B760" s="1" t="s">
        <v>2574</v>
      </c>
      <c r="C760" s="1" t="s">
        <v>2575</v>
      </c>
      <c r="D760" s="1" t="s">
        <v>1864</v>
      </c>
      <c r="E760" s="1" t="s">
        <v>2576</v>
      </c>
      <c r="F760" s="1" t="s">
        <v>2577</v>
      </c>
      <c r="G760" s="1">
        <v>81</v>
      </c>
      <c r="H760" s="1">
        <v>0</v>
      </c>
      <c r="I760" s="1">
        <v>2021</v>
      </c>
      <c r="J760" s="1">
        <v>28</v>
      </c>
      <c r="K760" s="1" t="s">
        <v>378</v>
      </c>
      <c r="O760" s="1" t="s">
        <v>2578</v>
      </c>
    </row>
    <row r="761" spans="1:16" ht="15.75" customHeight="1">
      <c r="A761" s="1" t="s">
        <v>463</v>
      </c>
      <c r="B761" s="1" t="s">
        <v>2724</v>
      </c>
      <c r="C761" s="1" t="s">
        <v>2725</v>
      </c>
      <c r="D761" s="1" t="s">
        <v>2706</v>
      </c>
      <c r="E761" s="1" t="s">
        <v>2726</v>
      </c>
      <c r="F761" s="1" t="s">
        <v>2727</v>
      </c>
      <c r="H761" s="1">
        <v>0</v>
      </c>
      <c r="I761" s="1">
        <v>2021</v>
      </c>
      <c r="O761" s="1" t="s">
        <v>2728</v>
      </c>
    </row>
    <row r="762" spans="1:16" ht="15.75" customHeight="1">
      <c r="A762" s="1" t="s">
        <v>463</v>
      </c>
      <c r="B762" s="1" t="s">
        <v>2710</v>
      </c>
      <c r="C762" s="1" t="s">
        <v>2711</v>
      </c>
      <c r="D762" s="1" t="s">
        <v>2706</v>
      </c>
      <c r="E762" s="1" t="s">
        <v>2712</v>
      </c>
      <c r="F762" s="1" t="s">
        <v>2713</v>
      </c>
      <c r="H762" s="1">
        <v>0</v>
      </c>
      <c r="I762" s="1">
        <v>2021</v>
      </c>
      <c r="O762" s="1" t="s">
        <v>2714</v>
      </c>
    </row>
    <row r="763" spans="1:16" ht="15.75" customHeight="1">
      <c r="A763" s="1" t="s">
        <v>0</v>
      </c>
      <c r="B763" s="1" t="s">
        <v>2805</v>
      </c>
      <c r="C763" s="1" t="s">
        <v>2806</v>
      </c>
      <c r="D763" s="1" t="s">
        <v>2807</v>
      </c>
      <c r="E763" s="1" t="s">
        <v>2808</v>
      </c>
      <c r="F763" s="1" t="s">
        <v>2809</v>
      </c>
      <c r="G763" s="1">
        <v>74</v>
      </c>
      <c r="H763" s="1">
        <v>0</v>
      </c>
      <c r="I763" s="1">
        <v>2021</v>
      </c>
      <c r="K763" s="1" t="s">
        <v>2810</v>
      </c>
      <c r="O763" s="1" t="s">
        <v>2811</v>
      </c>
    </row>
    <row r="764" spans="1:16" ht="15.75" customHeight="1">
      <c r="A764" s="1" t="s">
        <v>0</v>
      </c>
      <c r="B764" s="1" t="s">
        <v>2347</v>
      </c>
      <c r="C764" s="1" t="s">
        <v>2348</v>
      </c>
      <c r="D764" s="1" t="s">
        <v>201</v>
      </c>
      <c r="E764" s="1" t="s">
        <v>2349</v>
      </c>
      <c r="F764" s="1" t="s">
        <v>2350</v>
      </c>
      <c r="G764" s="1">
        <v>51</v>
      </c>
      <c r="H764" s="1">
        <v>0</v>
      </c>
      <c r="I764" s="1">
        <v>2021</v>
      </c>
      <c r="J764" s="1" t="s">
        <v>6</v>
      </c>
      <c r="K764" s="1">
        <v>67</v>
      </c>
      <c r="L764" s="1" t="s">
        <v>6</v>
      </c>
      <c r="M764" s="1" t="s">
        <v>6</v>
      </c>
      <c r="N764" s="1" t="s">
        <v>2351</v>
      </c>
      <c r="O764" s="1" t="s">
        <v>2352</v>
      </c>
      <c r="P764" s="3" t="str">
        <f>HYPERLINK("http://dx.doi.org/10.22199/issn.0718-1043-2021-0006","http://dx.doi.org/10.22199/issn.0718-1043-2021-0006")</f>
        <v>http://dx.doi.org/10.22199/issn.0718-1043-2021-0006</v>
      </c>
    </row>
    <row r="765" spans="1:16" ht="15.75" customHeight="1">
      <c r="A765" s="1" t="s">
        <v>0</v>
      </c>
      <c r="B765" s="1" t="s">
        <v>6479</v>
      </c>
      <c r="C765" s="1" t="s">
        <v>6480</v>
      </c>
      <c r="D765" s="1" t="s">
        <v>2022</v>
      </c>
      <c r="E765" s="1" t="s">
        <v>6481</v>
      </c>
      <c r="F765" s="1" t="s">
        <v>6482</v>
      </c>
      <c r="G765" s="1">
        <v>91</v>
      </c>
      <c r="H765" s="1">
        <v>0</v>
      </c>
      <c r="I765" s="1">
        <v>2021</v>
      </c>
      <c r="J765" s="1" t="s">
        <v>6</v>
      </c>
      <c r="K765" s="1">
        <v>79</v>
      </c>
      <c r="L765" s="1">
        <v>9</v>
      </c>
      <c r="M765" s="1">
        <v>32</v>
      </c>
      <c r="N765" s="1" t="s">
        <v>6</v>
      </c>
      <c r="O765" s="1" t="s">
        <v>6</v>
      </c>
      <c r="P765" s="1" t="s">
        <v>6</v>
      </c>
    </row>
    <row r="766" spans="1:16" ht="15.75" customHeight="1">
      <c r="A766" s="1" t="s">
        <v>10</v>
      </c>
      <c r="B766" s="1" t="s">
        <v>2142</v>
      </c>
      <c r="C766" s="1" t="s">
        <v>2143</v>
      </c>
      <c r="D766" s="1" t="s">
        <v>1522</v>
      </c>
      <c r="E766" s="1" t="s">
        <v>2144</v>
      </c>
      <c r="F766" s="1" t="s">
        <v>2145</v>
      </c>
      <c r="H766" s="1">
        <v>0</v>
      </c>
      <c r="I766" s="1">
        <v>2021</v>
      </c>
      <c r="K766" s="1">
        <v>66</v>
      </c>
      <c r="O766" s="1" t="s">
        <v>2146</v>
      </c>
    </row>
    <row r="767" spans="1:16" ht="15.75" customHeight="1">
      <c r="A767" s="1" t="s">
        <v>463</v>
      </c>
      <c r="B767" s="1" t="s">
        <v>3402</v>
      </c>
      <c r="C767" s="1" t="s">
        <v>3403</v>
      </c>
      <c r="D767" s="1" t="s">
        <v>3404</v>
      </c>
      <c r="E767" s="1" t="s">
        <v>3405</v>
      </c>
      <c r="F767" s="1" t="s">
        <v>3406</v>
      </c>
      <c r="H767" s="1">
        <v>0</v>
      </c>
      <c r="I767" s="1">
        <v>2021</v>
      </c>
      <c r="O767" s="1" t="s">
        <v>3407</v>
      </c>
    </row>
    <row r="768" spans="1:16" ht="15.75" customHeight="1">
      <c r="A768" s="1" t="s">
        <v>10</v>
      </c>
      <c r="B768" s="1" t="s">
        <v>292</v>
      </c>
      <c r="C768" s="1" t="s">
        <v>293</v>
      </c>
      <c r="D768" s="1" t="s">
        <v>294</v>
      </c>
      <c r="E768" s="1" t="s">
        <v>295</v>
      </c>
      <c r="F768" s="1" t="s">
        <v>296</v>
      </c>
      <c r="H768" s="1">
        <v>0</v>
      </c>
      <c r="I768" s="1">
        <v>2021</v>
      </c>
      <c r="J768" s="1">
        <v>51</v>
      </c>
      <c r="O768" s="1" t="s">
        <v>297</v>
      </c>
    </row>
    <row r="769" spans="1:16" ht="15.75" customHeight="1">
      <c r="A769" s="1" t="s">
        <v>10</v>
      </c>
      <c r="B769" s="1" t="s">
        <v>1532</v>
      </c>
      <c r="C769" s="1" t="s">
        <v>1533</v>
      </c>
      <c r="D769" s="1" t="s">
        <v>1534</v>
      </c>
      <c r="E769" s="1" t="s">
        <v>1535</v>
      </c>
      <c r="F769" s="1" t="s">
        <v>1536</v>
      </c>
      <c r="H769" s="1">
        <v>0</v>
      </c>
      <c r="I769" s="1">
        <v>2021</v>
      </c>
      <c r="J769" s="1">
        <v>34</v>
      </c>
      <c r="O769" s="1" t="s">
        <v>1537</v>
      </c>
    </row>
    <row r="770" spans="1:16" ht="15.75" customHeight="1">
      <c r="A770" s="1" t="s">
        <v>0</v>
      </c>
      <c r="B770" s="1" t="s">
        <v>5000</v>
      </c>
      <c r="C770" s="1" t="s">
        <v>5001</v>
      </c>
      <c r="D770" s="1" t="s">
        <v>52</v>
      </c>
      <c r="E770" s="1" t="s">
        <v>5002</v>
      </c>
      <c r="F770" s="1" t="s">
        <v>5003</v>
      </c>
      <c r="G770" s="1">
        <v>36</v>
      </c>
      <c r="H770" s="1">
        <v>0</v>
      </c>
      <c r="I770" s="1">
        <v>2021</v>
      </c>
      <c r="J770" s="1">
        <v>20</v>
      </c>
      <c r="K770" s="1" t="s">
        <v>3168</v>
      </c>
      <c r="O770" s="1" t="s">
        <v>5004</v>
      </c>
    </row>
    <row r="771" spans="1:16" ht="15.75" customHeight="1">
      <c r="A771" s="1" t="s">
        <v>0</v>
      </c>
      <c r="B771" s="1" t="s">
        <v>2137</v>
      </c>
      <c r="C771" s="1" t="s">
        <v>2138</v>
      </c>
      <c r="D771" s="1" t="s">
        <v>1602</v>
      </c>
      <c r="E771" s="1" t="s">
        <v>2139</v>
      </c>
      <c r="F771" s="1" t="s">
        <v>2140</v>
      </c>
      <c r="G771" s="1">
        <v>46</v>
      </c>
      <c r="H771" s="1">
        <v>0</v>
      </c>
      <c r="I771" s="1">
        <v>2021</v>
      </c>
      <c r="J771" s="1">
        <v>14</v>
      </c>
      <c r="K771" s="1" t="s">
        <v>6</v>
      </c>
      <c r="L771" s="1" t="s">
        <v>6</v>
      </c>
      <c r="M771" s="1" t="s">
        <v>6</v>
      </c>
      <c r="N771" s="1" t="s">
        <v>6</v>
      </c>
      <c r="O771" s="1" t="s">
        <v>2141</v>
      </c>
      <c r="P771" s="3" t="str">
        <f>HYPERLINK("http://dx.doi.org/10.11144/Javeriana.m14.ndcm","http://dx.doi.org/10.11144/Javeriana.m14.ndcm")</f>
        <v>http://dx.doi.org/10.11144/Javeriana.m14.ndcm</v>
      </c>
    </row>
    <row r="772" spans="1:16" ht="15.75" customHeight="1">
      <c r="A772" s="1" t="s">
        <v>0</v>
      </c>
      <c r="B772" s="1" t="s">
        <v>5356</v>
      </c>
      <c r="C772" s="1" t="s">
        <v>5357</v>
      </c>
      <c r="D772" s="1" t="s">
        <v>5358</v>
      </c>
      <c r="E772" s="1" t="s">
        <v>5359</v>
      </c>
      <c r="F772" s="1" t="s">
        <v>5360</v>
      </c>
      <c r="G772" s="1">
        <v>28</v>
      </c>
      <c r="H772" s="1">
        <v>0</v>
      </c>
      <c r="I772" s="1">
        <v>2021</v>
      </c>
      <c r="J772" s="1">
        <v>37</v>
      </c>
      <c r="K772" s="1">
        <v>69</v>
      </c>
      <c r="L772" s="1">
        <v>195</v>
      </c>
      <c r="M772" s="1">
        <v>218</v>
      </c>
      <c r="N772" s="1" t="s">
        <v>6</v>
      </c>
      <c r="O772" s="1" t="s">
        <v>5361</v>
      </c>
      <c r="P772" s="3" t="str">
        <f>HYPERLINK("http://dx.doi.org/10.15359/tdna.37-69.10","http://dx.doi.org/10.15359/tdna.37-69.10")</f>
        <v>http://dx.doi.org/10.15359/tdna.37-69.10</v>
      </c>
    </row>
    <row r="773" spans="1:16" ht="15.75" customHeight="1">
      <c r="A773" s="1" t="s">
        <v>0</v>
      </c>
      <c r="B773" s="1" t="s">
        <v>5767</v>
      </c>
      <c r="C773" s="1" t="s">
        <v>5768</v>
      </c>
      <c r="D773" s="1" t="s">
        <v>195</v>
      </c>
      <c r="E773" s="1" t="s">
        <v>5769</v>
      </c>
      <c r="F773" s="1" t="s">
        <v>5770</v>
      </c>
      <c r="G773" s="1">
        <v>73</v>
      </c>
      <c r="H773" s="1">
        <v>0</v>
      </c>
      <c r="I773" s="1">
        <v>2021</v>
      </c>
      <c r="J773" s="1">
        <v>53</v>
      </c>
      <c r="K773" s="1">
        <v>3</v>
      </c>
      <c r="L773" s="1">
        <v>544</v>
      </c>
      <c r="M773" s="1">
        <v>562</v>
      </c>
      <c r="N773" s="1" t="s">
        <v>6</v>
      </c>
      <c r="O773" s="1" t="s">
        <v>5771</v>
      </c>
      <c r="P773" s="3" t="str">
        <f>HYPERLINK("http://dx.doi.org/10.4067/S0717-73562021005001702","http://dx.doi.org/10.4067/S0717-73562021005001702")</f>
        <v>http://dx.doi.org/10.4067/S0717-73562021005001702</v>
      </c>
    </row>
    <row r="774" spans="1:16" ht="15.75" customHeight="1">
      <c r="A774" s="1" t="s">
        <v>0</v>
      </c>
      <c r="B774" s="1" t="s">
        <v>3837</v>
      </c>
      <c r="C774" s="1" t="s">
        <v>3838</v>
      </c>
      <c r="D774" s="1" t="s">
        <v>3839</v>
      </c>
      <c r="E774" s="1" t="s">
        <v>3840</v>
      </c>
      <c r="F774" s="1" t="s">
        <v>3841</v>
      </c>
      <c r="G774" s="1">
        <v>49</v>
      </c>
      <c r="H774" s="1">
        <v>0</v>
      </c>
      <c r="I774" s="1">
        <v>2021</v>
      </c>
      <c r="J774" s="1" t="s">
        <v>6</v>
      </c>
      <c r="K774" s="1">
        <v>15</v>
      </c>
      <c r="L774" s="1">
        <v>25</v>
      </c>
      <c r="M774" s="1">
        <v>46</v>
      </c>
      <c r="N774" s="1" t="s">
        <v>6</v>
      </c>
      <c r="O774" s="1" t="s">
        <v>3842</v>
      </c>
      <c r="P774" s="3" t="str">
        <f>HYPERLINK("http://dx.doi.org/10.5354/0719-0417.2021.64397","http://dx.doi.org/10.5354/0719-0417.2021.64397")</f>
        <v>http://dx.doi.org/10.5354/0719-0417.2021.64397</v>
      </c>
    </row>
    <row r="775" spans="1:16" ht="15.75" customHeight="1">
      <c r="A775" s="1" t="s">
        <v>0</v>
      </c>
      <c r="B775" s="1" t="s">
        <v>889</v>
      </c>
      <c r="C775" s="1" t="s">
        <v>890</v>
      </c>
      <c r="D775" s="1" t="s">
        <v>201</v>
      </c>
      <c r="E775" s="1" t="s">
        <v>891</v>
      </c>
      <c r="F775" s="1" t="s">
        <v>892</v>
      </c>
      <c r="G775" s="1">
        <v>39</v>
      </c>
      <c r="H775" s="1">
        <v>0</v>
      </c>
      <c r="I775" s="1">
        <v>2021</v>
      </c>
      <c r="J775" s="1" t="s">
        <v>6</v>
      </c>
      <c r="K775" s="1">
        <v>67</v>
      </c>
      <c r="L775" s="1" t="s">
        <v>6</v>
      </c>
      <c r="M775" s="1" t="s">
        <v>6</v>
      </c>
      <c r="N775" s="1" t="s">
        <v>893</v>
      </c>
      <c r="O775" s="1" t="s">
        <v>894</v>
      </c>
      <c r="P775" s="3" t="str">
        <f>HYPERLINK("http://dx.doi.org/10.22199/issn.0718-1043-2021-0013","http://dx.doi.org/10.22199/issn.0718-1043-2021-0013")</f>
        <v>http://dx.doi.org/10.22199/issn.0718-1043-2021-0013</v>
      </c>
    </row>
    <row r="776" spans="1:16" ht="15.75" customHeight="1">
      <c r="A776" s="1" t="s">
        <v>10</v>
      </c>
      <c r="B776" s="1" t="s">
        <v>6280</v>
      </c>
      <c r="C776" s="1" t="s">
        <v>6281</v>
      </c>
      <c r="D776" s="1" t="s">
        <v>6282</v>
      </c>
      <c r="E776" s="1" t="s">
        <v>6283</v>
      </c>
      <c r="F776" s="1" t="s">
        <v>6284</v>
      </c>
      <c r="H776" s="1">
        <v>0</v>
      </c>
      <c r="I776" s="1">
        <v>2021</v>
      </c>
      <c r="J776" s="1">
        <v>34</v>
      </c>
      <c r="K776" s="1">
        <v>1</v>
      </c>
      <c r="O776" s="1" t="s">
        <v>6285</v>
      </c>
    </row>
    <row r="777" spans="1:16" ht="15.75" customHeight="1">
      <c r="A777" s="1" t="s">
        <v>0</v>
      </c>
      <c r="B777" s="1" t="s">
        <v>6537</v>
      </c>
      <c r="C777" s="1" t="s">
        <v>6538</v>
      </c>
      <c r="D777" s="1" t="s">
        <v>1080</v>
      </c>
      <c r="E777" s="1" t="s">
        <v>6539</v>
      </c>
      <c r="F777" s="1" t="s">
        <v>6540</v>
      </c>
      <c r="G777" s="1">
        <v>60</v>
      </c>
      <c r="H777" s="1">
        <v>0</v>
      </c>
      <c r="I777" s="1">
        <v>2021</v>
      </c>
      <c r="J777" s="1" t="s">
        <v>6</v>
      </c>
      <c r="K777" s="1">
        <v>34</v>
      </c>
      <c r="L777" s="1">
        <v>195</v>
      </c>
      <c r="M777" s="1">
        <v>213</v>
      </c>
      <c r="N777" s="1" t="s">
        <v>6</v>
      </c>
      <c r="O777" s="1" t="s">
        <v>6541</v>
      </c>
      <c r="P777" s="3" t="str">
        <f>HYPERLINK("http://dx.doi.org/10.17163/uni.n34.2021.09","http://dx.doi.org/10.17163/uni.n34.2021.09")</f>
        <v>http://dx.doi.org/10.17163/uni.n34.2021.09</v>
      </c>
    </row>
    <row r="778" spans="1:16" ht="15.75" customHeight="1">
      <c r="A778" s="1" t="s">
        <v>463</v>
      </c>
      <c r="B778" s="1" t="s">
        <v>5928</v>
      </c>
      <c r="C778" s="1" t="s">
        <v>5929</v>
      </c>
      <c r="D778" s="1" t="s">
        <v>5930</v>
      </c>
      <c r="E778" s="1" t="s">
        <v>5931</v>
      </c>
      <c r="F778" s="1" t="s">
        <v>5932</v>
      </c>
      <c r="H778" s="1">
        <v>0</v>
      </c>
      <c r="I778" s="1">
        <v>2021</v>
      </c>
      <c r="O778" s="1" t="s">
        <v>5933</v>
      </c>
    </row>
    <row r="779" spans="1:16" ht="15.75" customHeight="1">
      <c r="A779" s="1" t="s">
        <v>0</v>
      </c>
      <c r="B779" s="1" t="s">
        <v>5279</v>
      </c>
      <c r="C779" s="1" t="s">
        <v>5280</v>
      </c>
      <c r="D779" s="1" t="s">
        <v>148</v>
      </c>
      <c r="E779" s="1" t="s">
        <v>5281</v>
      </c>
      <c r="F779" s="1" t="s">
        <v>5282</v>
      </c>
      <c r="G779" s="1">
        <v>50</v>
      </c>
      <c r="H779" s="1">
        <v>0</v>
      </c>
      <c r="I779" s="1">
        <v>2021</v>
      </c>
      <c r="J779" s="1">
        <v>29</v>
      </c>
      <c r="K779" s="1" t="s">
        <v>6</v>
      </c>
      <c r="L779" s="1" t="s">
        <v>6</v>
      </c>
      <c r="M779" s="1" t="s">
        <v>6</v>
      </c>
      <c r="N779" s="1" t="s">
        <v>6</v>
      </c>
      <c r="O779" s="1" t="s">
        <v>5283</v>
      </c>
      <c r="P779" s="3" t="str">
        <f>HYPERLINK("http://dx.doi.org/10.14507/epaa.29.6267","http://dx.doi.org/10.14507/epaa.29.6267")</f>
        <v>http://dx.doi.org/10.14507/epaa.29.6267</v>
      </c>
    </row>
    <row r="780" spans="1:16" ht="15.75" customHeight="1">
      <c r="A780" s="1" t="s">
        <v>0</v>
      </c>
      <c r="B780" s="1" t="s">
        <v>5887</v>
      </c>
      <c r="C780" s="1" t="s">
        <v>5888</v>
      </c>
      <c r="D780" s="1" t="s">
        <v>5889</v>
      </c>
      <c r="E780" s="1" t="s">
        <v>5890</v>
      </c>
      <c r="F780" s="1" t="s">
        <v>5891</v>
      </c>
      <c r="G780" s="1">
        <v>37</v>
      </c>
      <c r="H780" s="1">
        <v>0</v>
      </c>
      <c r="I780" s="1">
        <v>2021</v>
      </c>
      <c r="J780" s="1">
        <v>19</v>
      </c>
      <c r="K780" s="1" t="s">
        <v>61</v>
      </c>
    </row>
    <row r="781" spans="1:16" ht="15.75" customHeight="1">
      <c r="A781" s="1" t="s">
        <v>0</v>
      </c>
      <c r="B781" s="1" t="s">
        <v>5993</v>
      </c>
      <c r="C781" s="2" t="s">
        <v>5994</v>
      </c>
      <c r="D781" s="1" t="s">
        <v>5995</v>
      </c>
      <c r="E781" s="1" t="s">
        <v>5996</v>
      </c>
      <c r="F781" s="1" t="s">
        <v>5997</v>
      </c>
      <c r="G781" s="1">
        <v>32</v>
      </c>
      <c r="H781" s="1">
        <v>0</v>
      </c>
      <c r="I781" s="1">
        <v>2021</v>
      </c>
      <c r="J781" s="1">
        <v>21</v>
      </c>
      <c r="K781" s="1">
        <v>1</v>
      </c>
      <c r="L781" s="1">
        <v>613</v>
      </c>
      <c r="M781" s="1">
        <v>635</v>
      </c>
      <c r="N781" s="1" t="s">
        <v>6</v>
      </c>
      <c r="O781" s="1" t="s">
        <v>5998</v>
      </c>
      <c r="P781" s="3" t="str">
        <f>HYPERLINK("http://dx.doi.org/10.51349/veg.2021.1.23","http://dx.doi.org/10.51349/veg.2021.1.23")</f>
        <v>http://dx.doi.org/10.51349/veg.2021.1.23</v>
      </c>
    </row>
    <row r="782" spans="1:16" ht="15.75" customHeight="1">
      <c r="A782" s="1" t="s">
        <v>0</v>
      </c>
      <c r="B782" s="1" t="s">
        <v>2071</v>
      </c>
      <c r="C782" s="1" t="s">
        <v>2072</v>
      </c>
      <c r="D782" s="1" t="s">
        <v>2073</v>
      </c>
      <c r="E782" s="1" t="s">
        <v>2074</v>
      </c>
      <c r="F782" s="1" t="s">
        <v>2075</v>
      </c>
      <c r="G782" s="1">
        <v>22</v>
      </c>
      <c r="H782" s="1">
        <v>0</v>
      </c>
      <c r="I782" s="1">
        <v>2021</v>
      </c>
      <c r="J782" s="1">
        <v>13</v>
      </c>
      <c r="K782" s="1">
        <v>2</v>
      </c>
      <c r="L782" s="1">
        <v>37</v>
      </c>
      <c r="M782" s="1">
        <v>57</v>
      </c>
      <c r="N782" s="1" t="s">
        <v>6</v>
      </c>
      <c r="O782" s="1" t="s">
        <v>6</v>
      </c>
      <c r="P782" s="1" t="s">
        <v>6</v>
      </c>
    </row>
    <row r="783" spans="1:16" ht="15.75" customHeight="1">
      <c r="A783" s="1" t="s">
        <v>10</v>
      </c>
      <c r="B783" s="1" t="s">
        <v>5873</v>
      </c>
      <c r="C783" s="1" t="s">
        <v>5874</v>
      </c>
      <c r="D783" s="1" t="s">
        <v>639</v>
      </c>
      <c r="E783" s="1" t="s">
        <v>5875</v>
      </c>
      <c r="F783" s="1" t="s">
        <v>5876</v>
      </c>
      <c r="H783" s="1">
        <v>0</v>
      </c>
      <c r="I783" s="1">
        <v>2021</v>
      </c>
      <c r="K783" s="1">
        <v>86</v>
      </c>
      <c r="O783" s="1" t="s">
        <v>5877</v>
      </c>
    </row>
    <row r="784" spans="1:16" ht="15.75" customHeight="1">
      <c r="A784" s="1" t="s">
        <v>0</v>
      </c>
      <c r="B784" s="1" t="s">
        <v>2180</v>
      </c>
      <c r="C784" s="1" t="s">
        <v>2181</v>
      </c>
      <c r="D784" s="1" t="s">
        <v>2182</v>
      </c>
      <c r="E784" s="1" t="s">
        <v>2183</v>
      </c>
      <c r="F784" s="1" t="s">
        <v>2184</v>
      </c>
      <c r="G784" s="1">
        <v>50</v>
      </c>
      <c r="H784" s="1">
        <v>0</v>
      </c>
      <c r="I784" s="1">
        <v>2021</v>
      </c>
      <c r="J784" s="1">
        <v>34</v>
      </c>
      <c r="K784" s="1" t="s">
        <v>61</v>
      </c>
    </row>
    <row r="785" spans="1:16" ht="15.75" customHeight="1">
      <c r="A785" s="1" t="s">
        <v>0</v>
      </c>
      <c r="B785" s="1" t="s">
        <v>4501</v>
      </c>
      <c r="C785" s="1" t="s">
        <v>4502</v>
      </c>
      <c r="D785" s="1" t="s">
        <v>4503</v>
      </c>
      <c r="E785" s="1" t="s">
        <v>4504</v>
      </c>
      <c r="F785" s="1" t="s">
        <v>4505</v>
      </c>
      <c r="G785" s="1">
        <v>24</v>
      </c>
      <c r="H785" s="1">
        <v>0</v>
      </c>
      <c r="I785" s="1">
        <v>2021</v>
      </c>
      <c r="J785" s="1">
        <v>25</v>
      </c>
      <c r="K785" s="1">
        <v>1</v>
      </c>
      <c r="L785" s="1" t="s">
        <v>6</v>
      </c>
      <c r="M785" s="1" t="s">
        <v>6</v>
      </c>
      <c r="N785" s="1" t="s">
        <v>6</v>
      </c>
      <c r="O785" s="1" t="s">
        <v>4506</v>
      </c>
      <c r="P785" s="3" t="str">
        <f>HYPERLINK("http://dx.doi.org/10.15359/ree.25-1.14","http://dx.doi.org/10.15359/ree.25-1.14")</f>
        <v>http://dx.doi.org/10.15359/ree.25-1.14</v>
      </c>
    </row>
    <row r="786" spans="1:16" ht="15.75" customHeight="1">
      <c r="A786" s="1" t="s">
        <v>0</v>
      </c>
      <c r="B786" s="1" t="s">
        <v>328</v>
      </c>
      <c r="C786" s="1" t="s">
        <v>329</v>
      </c>
      <c r="D786" s="1" t="s">
        <v>330</v>
      </c>
      <c r="E786" s="1" t="s">
        <v>331</v>
      </c>
      <c r="F786" s="1" t="s">
        <v>332</v>
      </c>
      <c r="G786" s="1">
        <v>50</v>
      </c>
      <c r="H786" s="1">
        <v>0</v>
      </c>
      <c r="I786" s="1">
        <v>2021</v>
      </c>
      <c r="J786" s="1">
        <v>30</v>
      </c>
      <c r="K786" s="1" t="s">
        <v>333</v>
      </c>
      <c r="O786" s="1" t="s">
        <v>334</v>
      </c>
    </row>
    <row r="787" spans="1:16" ht="15.75" customHeight="1">
      <c r="A787" s="1" t="s">
        <v>0</v>
      </c>
      <c r="B787" s="1" t="s">
        <v>4682</v>
      </c>
      <c r="C787" s="2" t="s">
        <v>4683</v>
      </c>
      <c r="D787" s="1" t="s">
        <v>58</v>
      </c>
      <c r="E787" s="1" t="s">
        <v>4684</v>
      </c>
      <c r="F787" s="1" t="s">
        <v>4685</v>
      </c>
      <c r="G787" s="1">
        <v>57</v>
      </c>
      <c r="H787" s="1">
        <v>0</v>
      </c>
      <c r="I787" s="1">
        <v>2021</v>
      </c>
      <c r="J787" s="1">
        <v>21</v>
      </c>
      <c r="K787" s="1">
        <v>1</v>
      </c>
      <c r="L787" s="1">
        <v>152</v>
      </c>
      <c r="M787" s="1">
        <v>179</v>
      </c>
      <c r="N787" s="1" t="s">
        <v>6</v>
      </c>
      <c r="O787" s="1" t="s">
        <v>4686</v>
      </c>
      <c r="P787" s="3" t="str">
        <f>HYPERLINK("http://dx.doi.org/10.4067/S0719-09482021000100152","http://dx.doi.org/10.4067/S0719-09482021000100152")</f>
        <v>http://dx.doi.org/10.4067/S0719-09482021000100152</v>
      </c>
    </row>
    <row r="788" spans="1:16" ht="15.75" customHeight="1">
      <c r="A788" s="1" t="s">
        <v>0</v>
      </c>
      <c r="B788" s="1" t="s">
        <v>146</v>
      </c>
      <c r="C788" s="1" t="s">
        <v>147</v>
      </c>
      <c r="D788" s="1" t="s">
        <v>148</v>
      </c>
      <c r="E788" s="1" t="s">
        <v>149</v>
      </c>
      <c r="F788" s="1" t="s">
        <v>150</v>
      </c>
      <c r="G788" s="1">
        <v>34</v>
      </c>
      <c r="H788" s="1">
        <v>0</v>
      </c>
      <c r="I788" s="1">
        <v>2021</v>
      </c>
      <c r="J788" s="1">
        <v>29</v>
      </c>
      <c r="K788" s="1" t="s">
        <v>6</v>
      </c>
      <c r="L788" s="1" t="s">
        <v>6</v>
      </c>
      <c r="M788" s="1" t="s">
        <v>6</v>
      </c>
      <c r="N788" s="1" t="s">
        <v>6</v>
      </c>
      <c r="O788" s="1" t="s">
        <v>151</v>
      </c>
      <c r="P788" s="3" t="str">
        <f>HYPERLINK("http://dx.doi.org/10.14507/epaa.29.6261","http://dx.doi.org/10.14507/epaa.29.6261")</f>
        <v>http://dx.doi.org/10.14507/epaa.29.6261</v>
      </c>
    </row>
    <row r="789" spans="1:16" ht="15.75" customHeight="1">
      <c r="A789" s="1" t="s">
        <v>0</v>
      </c>
      <c r="B789" s="1" t="s">
        <v>1620</v>
      </c>
      <c r="C789" s="1" t="s">
        <v>1621</v>
      </c>
      <c r="D789" s="1" t="s">
        <v>1622</v>
      </c>
      <c r="E789" s="1" t="s">
        <v>1623</v>
      </c>
      <c r="F789" s="1" t="s">
        <v>1624</v>
      </c>
      <c r="G789" s="1">
        <v>0</v>
      </c>
      <c r="H789" s="1">
        <v>0</v>
      </c>
      <c r="I789" s="1">
        <v>2021</v>
      </c>
      <c r="J789" s="1">
        <v>35</v>
      </c>
      <c r="K789" s="1" t="s">
        <v>61</v>
      </c>
    </row>
    <row r="790" spans="1:16" ht="15.75" customHeight="1">
      <c r="A790" s="1" t="s">
        <v>0</v>
      </c>
      <c r="B790" s="1" t="s">
        <v>4303</v>
      </c>
      <c r="C790" s="1" t="s">
        <v>4304</v>
      </c>
      <c r="D790" s="1" t="s">
        <v>371</v>
      </c>
      <c r="E790" s="1" t="s">
        <v>4305</v>
      </c>
      <c r="F790" s="1" t="s">
        <v>4306</v>
      </c>
      <c r="G790" s="1">
        <v>39</v>
      </c>
      <c r="H790" s="1">
        <v>0</v>
      </c>
      <c r="I790" s="1">
        <v>2021</v>
      </c>
      <c r="J790" s="1">
        <v>11</v>
      </c>
      <c r="K790" s="1">
        <v>2</v>
      </c>
      <c r="L790" s="1">
        <v>361</v>
      </c>
      <c r="M790" s="1">
        <v>392</v>
      </c>
      <c r="N790" s="1" t="s">
        <v>6</v>
      </c>
      <c r="O790" s="1" t="s">
        <v>6</v>
      </c>
      <c r="P790" s="1" t="s">
        <v>6</v>
      </c>
    </row>
    <row r="791" spans="1:16" ht="15.75" customHeight="1">
      <c r="A791" s="1" t="s">
        <v>0</v>
      </c>
      <c r="B791" s="1" t="s">
        <v>4857</v>
      </c>
      <c r="C791" s="1" t="s">
        <v>4858</v>
      </c>
      <c r="D791" s="1" t="s">
        <v>996</v>
      </c>
      <c r="E791" s="1" t="s">
        <v>4859</v>
      </c>
      <c r="F791" s="1" t="s">
        <v>4860</v>
      </c>
      <c r="G791" s="1">
        <v>23</v>
      </c>
      <c r="H791" s="1">
        <v>0</v>
      </c>
      <c r="I791" s="1">
        <v>2021</v>
      </c>
      <c r="J791" s="1">
        <v>31</v>
      </c>
      <c r="K791" s="1">
        <v>1</v>
      </c>
      <c r="L791" s="1">
        <v>584</v>
      </c>
      <c r="M791" s="1">
        <v>602</v>
      </c>
      <c r="N791" s="1" t="s">
        <v>6</v>
      </c>
      <c r="O791" s="1" t="s">
        <v>4861</v>
      </c>
      <c r="P791" s="3" t="str">
        <f>HYPERLINK("http://dx.doi.org/10.7770/CUHSO-V31N1.ART2000","http://dx.doi.org/10.7770/CUHSO-V31N1.ART2000")</f>
        <v>http://dx.doi.org/10.7770/CUHSO-V31N1.ART2000</v>
      </c>
    </row>
    <row r="792" spans="1:16" ht="15.75" customHeight="1">
      <c r="A792" s="1" t="s">
        <v>0</v>
      </c>
      <c r="B792" s="1" t="s">
        <v>537</v>
      </c>
      <c r="C792" s="1" t="s">
        <v>538</v>
      </c>
      <c r="D792" s="1" t="s">
        <v>539</v>
      </c>
      <c r="E792" s="1" t="s">
        <v>540</v>
      </c>
      <c r="F792" s="1" t="s">
        <v>541</v>
      </c>
      <c r="G792" s="1">
        <v>81</v>
      </c>
      <c r="H792" s="1">
        <v>0</v>
      </c>
      <c r="I792" s="1">
        <v>2021</v>
      </c>
      <c r="J792" s="1" t="s">
        <v>6</v>
      </c>
      <c r="K792" s="1" t="s">
        <v>6</v>
      </c>
      <c r="L792" s="1" t="s">
        <v>6</v>
      </c>
      <c r="M792" s="1" t="s">
        <v>6</v>
      </c>
      <c r="N792" s="1" t="s">
        <v>6</v>
      </c>
      <c r="O792" s="1" t="s">
        <v>542</v>
      </c>
      <c r="P792" s="3" t="str">
        <f>HYPERLINK("http://dx.doi.org/10.1080/14782804.2021.2014305","http://dx.doi.org/10.1080/14782804.2021.2014305")</f>
        <v>http://dx.doi.org/10.1080/14782804.2021.2014305</v>
      </c>
    </row>
    <row r="793" spans="1:16" ht="15.75" customHeight="1">
      <c r="A793" s="1" t="s">
        <v>0</v>
      </c>
      <c r="B793" s="1" t="s">
        <v>2685</v>
      </c>
      <c r="C793" s="1" t="s">
        <v>2686</v>
      </c>
      <c r="D793" s="1" t="s">
        <v>2687</v>
      </c>
      <c r="E793" s="1" t="s">
        <v>2688</v>
      </c>
      <c r="F793" s="1" t="s">
        <v>2689</v>
      </c>
      <c r="G793" s="1">
        <v>51</v>
      </c>
      <c r="H793" s="1">
        <v>0</v>
      </c>
      <c r="I793" s="1">
        <v>2021</v>
      </c>
      <c r="J793" s="1">
        <v>45</v>
      </c>
      <c r="K793" s="1">
        <v>2</v>
      </c>
      <c r="L793" s="1" t="s">
        <v>6</v>
      </c>
      <c r="M793" s="1" t="s">
        <v>6</v>
      </c>
      <c r="N793" s="1" t="s">
        <v>6</v>
      </c>
      <c r="O793" s="1" t="s">
        <v>2690</v>
      </c>
      <c r="P793" s="3" t="str">
        <f>HYPERLINK("http://dx.doi.org/10.15517/revedu.v45i1.43617","http://dx.doi.org/10.15517/revedu.v45i1.43617")</f>
        <v>http://dx.doi.org/10.15517/revedu.v45i1.43617</v>
      </c>
    </row>
    <row r="794" spans="1:16" ht="15.75" customHeight="1">
      <c r="A794" s="1" t="s">
        <v>0</v>
      </c>
      <c r="B794" s="1" t="s">
        <v>1862</v>
      </c>
      <c r="C794" s="1" t="s">
        <v>1863</v>
      </c>
      <c r="D794" s="1" t="s">
        <v>1864</v>
      </c>
      <c r="E794" s="1" t="s">
        <v>1865</v>
      </c>
      <c r="F794" s="1" t="s">
        <v>1866</v>
      </c>
      <c r="G794" s="1">
        <v>66</v>
      </c>
      <c r="H794" s="1">
        <v>0</v>
      </c>
      <c r="I794" s="1">
        <v>2021</v>
      </c>
      <c r="J794" s="1">
        <v>28</v>
      </c>
      <c r="K794" s="1" t="s">
        <v>378</v>
      </c>
      <c r="O794" s="1" t="s">
        <v>1867</v>
      </c>
    </row>
    <row r="795" spans="1:16" ht="15.75" customHeight="1">
      <c r="A795" s="1" t="s">
        <v>0</v>
      </c>
      <c r="B795" s="1" t="s">
        <v>694</v>
      </c>
      <c r="C795" s="1" t="s">
        <v>695</v>
      </c>
      <c r="D795" s="1" t="s">
        <v>696</v>
      </c>
      <c r="E795" s="1" t="s">
        <v>697</v>
      </c>
      <c r="F795" s="1" t="s">
        <v>698</v>
      </c>
      <c r="G795" s="1">
        <v>44</v>
      </c>
      <c r="H795" s="1">
        <v>0</v>
      </c>
      <c r="I795" s="1">
        <v>2021</v>
      </c>
      <c r="J795" s="1">
        <v>20</v>
      </c>
      <c r="K795" s="1" t="s">
        <v>6</v>
      </c>
      <c r="L795" s="1" t="s">
        <v>6</v>
      </c>
      <c r="M795" s="1" t="s">
        <v>6</v>
      </c>
      <c r="N795" s="1" t="s">
        <v>6</v>
      </c>
      <c r="O795" s="1" t="s">
        <v>699</v>
      </c>
      <c r="P795" s="3" t="str">
        <f>HYPERLINK("http://dx.doi.org/10.11144/Javeriana.upsy20.rsve","http://dx.doi.org/10.11144/Javeriana.upsy20.rsve")</f>
        <v>http://dx.doi.org/10.11144/Javeriana.upsy20.rsve</v>
      </c>
    </row>
    <row r="796" spans="1:16" ht="15.75" customHeight="1">
      <c r="A796" s="1" t="s">
        <v>0</v>
      </c>
      <c r="B796" s="1" t="s">
        <v>3482</v>
      </c>
      <c r="C796" s="1" t="s">
        <v>3483</v>
      </c>
      <c r="D796" s="1" t="s">
        <v>288</v>
      </c>
      <c r="E796" s="1" t="s">
        <v>3484</v>
      </c>
      <c r="F796" s="1" t="s">
        <v>3485</v>
      </c>
      <c r="G796" s="1">
        <v>65</v>
      </c>
      <c r="H796" s="1">
        <v>0</v>
      </c>
      <c r="I796" s="1">
        <v>2021</v>
      </c>
      <c r="J796" s="1">
        <v>18</v>
      </c>
      <c r="K796" s="1">
        <v>2</v>
      </c>
      <c r="L796" s="1" t="s">
        <v>6</v>
      </c>
      <c r="M796" s="1" t="s">
        <v>6</v>
      </c>
      <c r="N796" s="1" t="s">
        <v>3486</v>
      </c>
      <c r="O796" s="1" t="s">
        <v>3487</v>
      </c>
      <c r="P796" s="3" t="str">
        <f>HYPERLINK("http://dx.doi.org/10.15517/c.a..v18i2.47808","http://dx.doi.org/10.15517/c.a..v18i2.47808")</f>
        <v>http://dx.doi.org/10.15517/c.a..v18i2.47808</v>
      </c>
    </row>
    <row r="797" spans="1:16" ht="15.75" customHeight="1">
      <c r="A797" s="1" t="s">
        <v>0</v>
      </c>
      <c r="B797" s="1" t="s">
        <v>2893</v>
      </c>
      <c r="C797" s="1" t="s">
        <v>2894</v>
      </c>
      <c r="D797" s="1" t="s">
        <v>2895</v>
      </c>
      <c r="E797" s="1" t="s">
        <v>2896</v>
      </c>
      <c r="F797" s="1" t="s">
        <v>2897</v>
      </c>
      <c r="G797" s="1">
        <v>34</v>
      </c>
      <c r="H797" s="1">
        <v>0</v>
      </c>
      <c r="I797" s="1">
        <v>2021</v>
      </c>
      <c r="J797" s="1">
        <v>19</v>
      </c>
      <c r="K797" s="1">
        <v>1</v>
      </c>
      <c r="L797" s="1">
        <v>177</v>
      </c>
      <c r="M797" s="1">
        <v>205</v>
      </c>
      <c r="N797" s="1" t="s">
        <v>6</v>
      </c>
      <c r="O797" s="1" t="s">
        <v>6</v>
      </c>
      <c r="P797" s="1" t="s">
        <v>6</v>
      </c>
    </row>
    <row r="798" spans="1:16" ht="15.75" customHeight="1">
      <c r="A798" s="1" t="s">
        <v>0</v>
      </c>
      <c r="B798" s="1" t="s">
        <v>1189</v>
      </c>
      <c r="C798" s="1" t="s">
        <v>1190</v>
      </c>
      <c r="D798" s="1" t="s">
        <v>1191</v>
      </c>
      <c r="E798" s="1" t="s">
        <v>1192</v>
      </c>
      <c r="F798" s="1" t="s">
        <v>1193</v>
      </c>
      <c r="G798" s="1">
        <v>67</v>
      </c>
      <c r="H798" s="1">
        <v>0</v>
      </c>
      <c r="I798" s="1">
        <v>2021</v>
      </c>
      <c r="J798" s="1">
        <v>38</v>
      </c>
      <c r="K798" s="1" t="s">
        <v>61</v>
      </c>
      <c r="O798" s="1" t="s">
        <v>1194</v>
      </c>
    </row>
    <row r="799" spans="1:16" ht="15.75" customHeight="1">
      <c r="A799" s="1" t="s">
        <v>10</v>
      </c>
      <c r="B799" s="1" t="s">
        <v>1154</v>
      </c>
      <c r="C799" s="1" t="s">
        <v>1155</v>
      </c>
      <c r="D799" s="1" t="s">
        <v>1156</v>
      </c>
      <c r="E799" s="1" t="s">
        <v>1157</v>
      </c>
      <c r="F799" s="1" t="s">
        <v>1158</v>
      </c>
      <c r="H799" s="1">
        <v>0</v>
      </c>
      <c r="I799" s="1">
        <v>2021</v>
      </c>
      <c r="J799" s="1">
        <v>26</v>
      </c>
      <c r="K799" s="1">
        <v>40</v>
      </c>
      <c r="O799" s="1" t="s">
        <v>1159</v>
      </c>
    </row>
    <row r="800" spans="1:16" ht="15.75" customHeight="1">
      <c r="A800" s="1" t="s">
        <v>0</v>
      </c>
      <c r="B800" s="1" t="s">
        <v>6437</v>
      </c>
      <c r="C800" s="1" t="s">
        <v>6438</v>
      </c>
      <c r="D800" s="1" t="s">
        <v>1815</v>
      </c>
      <c r="E800" s="1" t="s">
        <v>6439</v>
      </c>
      <c r="F800" s="1" t="s">
        <v>6440</v>
      </c>
      <c r="G800" s="1">
        <v>41</v>
      </c>
      <c r="H800" s="1">
        <v>0</v>
      </c>
      <c r="I800" s="1">
        <v>2021</v>
      </c>
      <c r="J800" s="1">
        <v>50</v>
      </c>
      <c r="K800" s="1" t="s">
        <v>6</v>
      </c>
      <c r="L800" s="1" t="s">
        <v>6</v>
      </c>
      <c r="M800" s="1" t="s">
        <v>6</v>
      </c>
      <c r="N800" s="1" t="s">
        <v>6</v>
      </c>
      <c r="O800" s="1" t="s">
        <v>6</v>
      </c>
      <c r="P800" s="1" t="s">
        <v>6</v>
      </c>
    </row>
    <row r="801" spans="1:16" ht="15.75" customHeight="1">
      <c r="A801" s="1" t="s">
        <v>0</v>
      </c>
      <c r="B801" s="1" t="s">
        <v>5735</v>
      </c>
      <c r="C801" s="1" t="s">
        <v>5736</v>
      </c>
      <c r="D801" s="1" t="s">
        <v>1103</v>
      </c>
      <c r="E801" s="1" t="s">
        <v>5737</v>
      </c>
      <c r="F801" s="1" t="s">
        <v>5738</v>
      </c>
      <c r="G801" s="1">
        <v>86</v>
      </c>
      <c r="H801" s="1">
        <v>0</v>
      </c>
      <c r="I801" s="1">
        <v>2021</v>
      </c>
      <c r="J801" s="1">
        <v>48</v>
      </c>
      <c r="K801" s="1">
        <v>6</v>
      </c>
      <c r="L801" s="1">
        <v>48</v>
      </c>
      <c r="M801" s="1">
        <v>66</v>
      </c>
      <c r="N801" s="1" t="s">
        <v>5739</v>
      </c>
      <c r="O801" s="1" t="s">
        <v>5740</v>
      </c>
      <c r="P801" s="3" t="str">
        <f>HYPERLINK("http://dx.doi.org/10.1177/0094582X211029593","http://dx.doi.org/10.1177/0094582X211029593")</f>
        <v>http://dx.doi.org/10.1177/0094582X211029593</v>
      </c>
    </row>
    <row r="802" spans="1:16" ht="15.75" customHeight="1">
      <c r="A802" s="1" t="s">
        <v>0</v>
      </c>
      <c r="B802" s="1" t="s">
        <v>2051</v>
      </c>
      <c r="C802" s="1" t="s">
        <v>2052</v>
      </c>
      <c r="D802" s="1" t="s">
        <v>148</v>
      </c>
      <c r="E802" s="1" t="s">
        <v>2053</v>
      </c>
      <c r="F802" s="1" t="s">
        <v>2054</v>
      </c>
      <c r="G802" s="1">
        <v>45</v>
      </c>
      <c r="H802" s="1">
        <v>0</v>
      </c>
      <c r="I802" s="1">
        <v>2021</v>
      </c>
      <c r="J802" s="1">
        <v>29</v>
      </c>
      <c r="K802" s="1" t="s">
        <v>6</v>
      </c>
      <c r="L802" s="1" t="s">
        <v>6</v>
      </c>
      <c r="M802" s="1" t="s">
        <v>6</v>
      </c>
      <c r="N802" s="1" t="s">
        <v>6</v>
      </c>
      <c r="O802" s="1" t="s">
        <v>6</v>
      </c>
      <c r="P802" s="1" t="s">
        <v>6</v>
      </c>
    </row>
    <row r="803" spans="1:16" ht="15.75" customHeight="1">
      <c r="A803" s="1" t="s">
        <v>0</v>
      </c>
      <c r="B803" s="1" t="s">
        <v>4229</v>
      </c>
      <c r="C803" s="1" t="s">
        <v>4230</v>
      </c>
      <c r="D803" s="1" t="s">
        <v>58</v>
      </c>
      <c r="E803" s="1" t="s">
        <v>4231</v>
      </c>
      <c r="F803" s="1" t="s">
        <v>4232</v>
      </c>
      <c r="G803" s="1">
        <v>91</v>
      </c>
      <c r="H803" s="1">
        <v>0</v>
      </c>
      <c r="I803" s="1">
        <v>2021</v>
      </c>
      <c r="J803" s="1">
        <v>21</v>
      </c>
      <c r="K803" s="1">
        <v>2</v>
      </c>
      <c r="L803" s="1">
        <v>95</v>
      </c>
      <c r="M803" s="1">
        <v>119</v>
      </c>
      <c r="N803" s="1" t="s">
        <v>6</v>
      </c>
      <c r="O803" s="1" t="s">
        <v>6</v>
      </c>
      <c r="P803" s="1" t="s">
        <v>6</v>
      </c>
    </row>
    <row r="804" spans="1:16" ht="15.75" customHeight="1">
      <c r="A804" s="1" t="s">
        <v>10</v>
      </c>
      <c r="B804" s="1" t="s">
        <v>3334</v>
      </c>
      <c r="C804" s="1" t="s">
        <v>3335</v>
      </c>
      <c r="D804" s="1" t="s">
        <v>3336</v>
      </c>
      <c r="E804" s="1" t="s">
        <v>3337</v>
      </c>
      <c r="F804" s="1" t="s">
        <v>3338</v>
      </c>
      <c r="H804" s="1">
        <v>21</v>
      </c>
      <c r="I804" s="1">
        <v>2022</v>
      </c>
      <c r="J804" s="1">
        <v>33</v>
      </c>
      <c r="O804" s="1" t="s">
        <v>3339</v>
      </c>
    </row>
    <row r="805" spans="1:16" ht="15.75" customHeight="1">
      <c r="A805" s="1" t="s">
        <v>0</v>
      </c>
      <c r="B805" s="1" t="s">
        <v>1908</v>
      </c>
      <c r="C805" s="1" t="s">
        <v>1909</v>
      </c>
      <c r="D805" s="1" t="s">
        <v>963</v>
      </c>
      <c r="E805" s="8" t="s">
        <v>7112</v>
      </c>
      <c r="F805" s="1" t="s">
        <v>1910</v>
      </c>
      <c r="G805" s="1">
        <v>42</v>
      </c>
      <c r="H805" s="1">
        <v>12</v>
      </c>
      <c r="I805" s="1">
        <v>2022</v>
      </c>
      <c r="J805" s="1">
        <v>60</v>
      </c>
      <c r="K805" s="1">
        <v>1</v>
      </c>
      <c r="L805" s="1">
        <v>77</v>
      </c>
      <c r="M805" s="1">
        <v>91</v>
      </c>
      <c r="N805" s="1" t="s">
        <v>6</v>
      </c>
      <c r="O805" s="1" t="s">
        <v>1911</v>
      </c>
      <c r="P805" s="3" t="str">
        <f>HYPERLINK("http://dx.doi.org/10.1111/imig.12824","http://dx.doi.org/10.1111/imig.12824")</f>
        <v>http://dx.doi.org/10.1111/imig.12824</v>
      </c>
    </row>
    <row r="806" spans="1:16" ht="15.75" customHeight="1">
      <c r="A806" s="1" t="s">
        <v>10</v>
      </c>
      <c r="B806" s="1" t="s">
        <v>6922</v>
      </c>
      <c r="C806" s="1" t="s">
        <v>6923</v>
      </c>
      <c r="D806" s="1" t="s">
        <v>88</v>
      </c>
      <c r="E806" s="1" t="s">
        <v>6924</v>
      </c>
      <c r="F806" s="1" t="s">
        <v>6925</v>
      </c>
      <c r="H806" s="1">
        <v>12</v>
      </c>
      <c r="I806" s="1">
        <v>2022</v>
      </c>
      <c r="J806" s="1">
        <v>157</v>
      </c>
      <c r="O806" s="1" t="s">
        <v>6926</v>
      </c>
    </row>
    <row r="807" spans="1:16" ht="15.75" customHeight="1">
      <c r="A807" s="1" t="s">
        <v>0</v>
      </c>
      <c r="B807" s="1" t="s">
        <v>815</v>
      </c>
      <c r="C807" s="1" t="s">
        <v>816</v>
      </c>
      <c r="D807" s="1" t="s">
        <v>817</v>
      </c>
      <c r="E807" s="1" t="s">
        <v>818</v>
      </c>
      <c r="F807" s="1" t="s">
        <v>819</v>
      </c>
      <c r="G807" s="1">
        <v>90</v>
      </c>
      <c r="H807" s="1">
        <v>9</v>
      </c>
      <c r="I807" s="1">
        <v>2022</v>
      </c>
      <c r="J807" s="1">
        <v>25</v>
      </c>
      <c r="K807" s="1" t="s">
        <v>820</v>
      </c>
      <c r="L807" s="1">
        <v>404</v>
      </c>
      <c r="M807" s="1">
        <v>427</v>
      </c>
      <c r="N807" s="1">
        <v>1.3678779221092462E+16</v>
      </c>
      <c r="O807" s="1" t="s">
        <v>821</v>
      </c>
      <c r="P807" s="3" t="str">
        <f>HYPERLINK("http://dx.doi.org/10.1177/13678779221092462","http://dx.doi.org/10.1177/13678779221092462")</f>
        <v>http://dx.doi.org/10.1177/13678779221092462</v>
      </c>
    </row>
    <row r="808" spans="1:16" ht="15.75" customHeight="1">
      <c r="A808" s="1" t="s">
        <v>10</v>
      </c>
      <c r="B808" s="1" t="s">
        <v>3242</v>
      </c>
      <c r="C808" s="1" t="s">
        <v>3243</v>
      </c>
      <c r="D808" s="1" t="s">
        <v>1358</v>
      </c>
      <c r="E808" s="1" t="s">
        <v>3244</v>
      </c>
      <c r="F808" s="1" t="s">
        <v>3245</v>
      </c>
      <c r="H808" s="1">
        <v>8</v>
      </c>
      <c r="I808" s="1">
        <v>2022</v>
      </c>
      <c r="J808" s="1">
        <v>21</v>
      </c>
      <c r="K808" s="1">
        <v>1</v>
      </c>
      <c r="O808" s="1" t="s">
        <v>3246</v>
      </c>
    </row>
    <row r="809" spans="1:16" ht="15.75" customHeight="1">
      <c r="A809" s="1" t="s">
        <v>10</v>
      </c>
      <c r="B809" s="1" t="s">
        <v>5162</v>
      </c>
      <c r="C809" s="1" t="s">
        <v>5163</v>
      </c>
      <c r="D809" s="1" t="s">
        <v>430</v>
      </c>
      <c r="E809" s="1" t="s">
        <v>5164</v>
      </c>
      <c r="F809" s="1" t="s">
        <v>5165</v>
      </c>
      <c r="H809" s="1">
        <v>8</v>
      </c>
      <c r="I809" s="1">
        <v>2022</v>
      </c>
      <c r="J809" s="1">
        <v>23</v>
      </c>
      <c r="K809" s="1">
        <v>2</v>
      </c>
      <c r="O809" s="1" t="s">
        <v>5166</v>
      </c>
    </row>
    <row r="810" spans="1:16" ht="15.75" customHeight="1">
      <c r="A810" s="1" t="s">
        <v>10</v>
      </c>
      <c r="B810" s="1" t="s">
        <v>4698</v>
      </c>
      <c r="C810" s="1" t="s">
        <v>4699</v>
      </c>
      <c r="D810" s="1" t="s">
        <v>4363</v>
      </c>
      <c r="E810" s="1" t="s">
        <v>4700</v>
      </c>
      <c r="F810" s="1" t="s">
        <v>4701</v>
      </c>
      <c r="H810" s="1">
        <v>8</v>
      </c>
      <c r="I810" s="1">
        <v>2022</v>
      </c>
      <c r="J810" s="1">
        <v>29</v>
      </c>
      <c r="K810" s="1">
        <v>2</v>
      </c>
      <c r="O810" s="1" t="s">
        <v>4702</v>
      </c>
    </row>
    <row r="811" spans="1:16" ht="15.75" customHeight="1">
      <c r="A811" s="1" t="s">
        <v>10</v>
      </c>
      <c r="B811" s="1" t="s">
        <v>6290</v>
      </c>
      <c r="C811" s="1" t="s">
        <v>6291</v>
      </c>
      <c r="D811" s="1" t="s">
        <v>6292</v>
      </c>
      <c r="E811" s="1" t="s">
        <v>6293</v>
      </c>
      <c r="F811" s="1" t="s">
        <v>6294</v>
      </c>
      <c r="H811" s="1">
        <v>7</v>
      </c>
      <c r="I811" s="1">
        <v>2022</v>
      </c>
      <c r="J811" s="1">
        <v>10</v>
      </c>
      <c r="K811" s="1">
        <v>2</v>
      </c>
      <c r="O811" s="1" t="s">
        <v>6295</v>
      </c>
    </row>
    <row r="812" spans="1:16" ht="15.75" customHeight="1">
      <c r="A812" s="1" t="s">
        <v>10</v>
      </c>
      <c r="B812" s="1" t="s">
        <v>98</v>
      </c>
      <c r="C812" s="1" t="s">
        <v>99</v>
      </c>
      <c r="D812" s="1" t="s">
        <v>100</v>
      </c>
      <c r="E812" s="1" t="s">
        <v>101</v>
      </c>
      <c r="F812" s="1" t="s">
        <v>102</v>
      </c>
      <c r="H812" s="1">
        <v>7</v>
      </c>
      <c r="I812" s="1">
        <v>2022</v>
      </c>
      <c r="J812" s="1">
        <v>30</v>
      </c>
      <c r="K812" s="1">
        <v>5</v>
      </c>
      <c r="O812" s="1" t="s">
        <v>103</v>
      </c>
    </row>
    <row r="813" spans="1:16" ht="15.75" customHeight="1">
      <c r="A813" s="1" t="s">
        <v>0</v>
      </c>
      <c r="B813" s="1" t="s">
        <v>1971</v>
      </c>
      <c r="C813" s="1" t="s">
        <v>1972</v>
      </c>
      <c r="D813" s="1" t="s">
        <v>1933</v>
      </c>
      <c r="E813" s="1" t="s">
        <v>1973</v>
      </c>
      <c r="F813" s="1" t="s">
        <v>1974</v>
      </c>
      <c r="G813" s="1">
        <v>30</v>
      </c>
      <c r="H813" s="1">
        <v>7</v>
      </c>
      <c r="I813" s="1">
        <v>2022</v>
      </c>
      <c r="J813" s="1">
        <v>48</v>
      </c>
      <c r="K813" s="1">
        <v>144</v>
      </c>
      <c r="L813" s="1" t="s">
        <v>6</v>
      </c>
      <c r="M813" s="1" t="s">
        <v>6</v>
      </c>
      <c r="N813" s="1" t="s">
        <v>6</v>
      </c>
      <c r="O813" s="1" t="s">
        <v>1975</v>
      </c>
      <c r="P813" s="3" t="str">
        <f>HYPERLINK("http://dx.doi.org/10.7764/eure.48.144.02","http://dx.doi.org/10.7764/eure.48.144.02")</f>
        <v>http://dx.doi.org/10.7764/eure.48.144.02</v>
      </c>
    </row>
    <row r="814" spans="1:16" ht="15.75" customHeight="1">
      <c r="A814" s="1" t="s">
        <v>10</v>
      </c>
      <c r="B814" s="1" t="s">
        <v>2009</v>
      </c>
      <c r="C814" s="1" t="s">
        <v>2010</v>
      </c>
      <c r="D814" s="1" t="s">
        <v>2011</v>
      </c>
      <c r="E814" s="1" t="s">
        <v>2012</v>
      </c>
      <c r="F814" s="1" t="s">
        <v>2013</v>
      </c>
      <c r="H814" s="1">
        <v>6</v>
      </c>
      <c r="I814" s="1">
        <v>2022</v>
      </c>
      <c r="J814" s="1">
        <v>114</v>
      </c>
      <c r="O814" s="1" t="s">
        <v>2014</v>
      </c>
    </row>
    <row r="815" spans="1:16" ht="15.75" customHeight="1">
      <c r="A815" s="1" t="s">
        <v>10</v>
      </c>
      <c r="B815" s="1" t="s">
        <v>1987</v>
      </c>
      <c r="C815" s="1" t="s">
        <v>1988</v>
      </c>
      <c r="D815" s="1" t="s">
        <v>709</v>
      </c>
      <c r="E815" s="1" t="s">
        <v>1989</v>
      </c>
      <c r="F815" s="1" t="s">
        <v>1990</v>
      </c>
      <c r="H815" s="1">
        <v>6</v>
      </c>
      <c r="I815" s="1">
        <v>2022</v>
      </c>
      <c r="J815" s="1">
        <v>83</v>
      </c>
      <c r="O815" s="1" t="s">
        <v>1991</v>
      </c>
    </row>
    <row r="816" spans="1:16" ht="15.75" customHeight="1">
      <c r="A816" s="1" t="s">
        <v>10</v>
      </c>
      <c r="B816" s="1" t="s">
        <v>6310</v>
      </c>
      <c r="C816" s="1" t="s">
        <v>6311</v>
      </c>
      <c r="D816" s="1" t="s">
        <v>6312</v>
      </c>
      <c r="E816" s="1" t="s">
        <v>6313</v>
      </c>
      <c r="F816" s="1" t="s">
        <v>6314</v>
      </c>
      <c r="H816" s="1">
        <v>6</v>
      </c>
      <c r="I816" s="1">
        <v>2022</v>
      </c>
      <c r="J816" s="1">
        <v>47</v>
      </c>
      <c r="K816" s="1">
        <v>2</v>
      </c>
      <c r="O816" s="1" t="s">
        <v>6315</v>
      </c>
    </row>
    <row r="817" spans="1:16" ht="15.75" customHeight="1">
      <c r="A817" s="1" t="s">
        <v>10</v>
      </c>
      <c r="B817" s="1" t="s">
        <v>2998</v>
      </c>
      <c r="C817" s="1" t="s">
        <v>2999</v>
      </c>
      <c r="D817" s="1" t="s">
        <v>3000</v>
      </c>
      <c r="E817" s="1" t="s">
        <v>3001</v>
      </c>
      <c r="F817" s="1" t="s">
        <v>3002</v>
      </c>
      <c r="H817" s="1">
        <v>5</v>
      </c>
      <c r="I817" s="1">
        <v>2022</v>
      </c>
      <c r="J817" s="1">
        <v>9</v>
      </c>
      <c r="K817" s="1">
        <v>2</v>
      </c>
      <c r="O817" s="1" t="s">
        <v>3003</v>
      </c>
    </row>
    <row r="818" spans="1:16" ht="15.75" customHeight="1">
      <c r="A818" s="1" t="s">
        <v>10</v>
      </c>
      <c r="B818" s="1" t="s">
        <v>3631</v>
      </c>
      <c r="C818" s="1" t="s">
        <v>3632</v>
      </c>
      <c r="D818" s="1" t="s">
        <v>3633</v>
      </c>
      <c r="E818" s="1" t="s">
        <v>3634</v>
      </c>
      <c r="F818" s="1" t="s">
        <v>3635</v>
      </c>
      <c r="H818" s="1">
        <v>5</v>
      </c>
      <c r="I818" s="1">
        <v>2022</v>
      </c>
      <c r="J818" s="1">
        <v>39</v>
      </c>
      <c r="K818" s="1">
        <v>1</v>
      </c>
      <c r="O818" s="1" t="s">
        <v>3636</v>
      </c>
    </row>
    <row r="819" spans="1:16" ht="15.75" customHeight="1">
      <c r="A819" s="1" t="s">
        <v>0</v>
      </c>
      <c r="B819" s="1" t="s">
        <v>6647</v>
      </c>
      <c r="C819" s="1" t="s">
        <v>6648</v>
      </c>
      <c r="D819" s="1" t="s">
        <v>6649</v>
      </c>
      <c r="E819" s="1" t="s">
        <v>6650</v>
      </c>
      <c r="F819" s="1" t="s">
        <v>6651</v>
      </c>
      <c r="G819" s="1">
        <v>64</v>
      </c>
      <c r="H819" s="1">
        <v>5</v>
      </c>
      <c r="I819" s="1">
        <v>2022</v>
      </c>
      <c r="J819" s="1">
        <v>37</v>
      </c>
      <c r="K819" s="1" t="s">
        <v>6652</v>
      </c>
      <c r="L819" s="1" t="s">
        <v>6653</v>
      </c>
      <c r="M819" s="1" t="s">
        <v>6654</v>
      </c>
      <c r="N819" s="1">
        <v>886260520959571</v>
      </c>
      <c r="O819" s="1" t="s">
        <v>6655</v>
      </c>
      <c r="P819" s="3" t="str">
        <f>HYPERLINK("http://dx.doi.org/10.1177/0886260520959571","http://dx.doi.org/10.1177/0886260520959571")</f>
        <v>http://dx.doi.org/10.1177/0886260520959571</v>
      </c>
    </row>
    <row r="820" spans="1:16" ht="15.75" customHeight="1">
      <c r="A820" s="1" t="s">
        <v>10</v>
      </c>
      <c r="B820" s="1" t="s">
        <v>4478</v>
      </c>
      <c r="C820" s="1" t="s">
        <v>4479</v>
      </c>
      <c r="D820" s="1" t="s">
        <v>4480</v>
      </c>
      <c r="E820" s="1" t="s">
        <v>4481</v>
      </c>
      <c r="F820" s="1" t="s">
        <v>4482</v>
      </c>
      <c r="H820" s="1">
        <v>5</v>
      </c>
      <c r="I820" s="1">
        <v>2022</v>
      </c>
      <c r="J820" s="1">
        <v>30</v>
      </c>
      <c r="K820" s="1">
        <v>4</v>
      </c>
      <c r="O820" s="1" t="s">
        <v>4483</v>
      </c>
    </row>
    <row r="821" spans="1:16" ht="15.75" customHeight="1">
      <c r="A821" s="1" t="s">
        <v>0</v>
      </c>
      <c r="B821" s="1" t="s">
        <v>5746</v>
      </c>
      <c r="C821" s="1" t="s">
        <v>5747</v>
      </c>
      <c r="D821" s="1" t="s">
        <v>5748</v>
      </c>
      <c r="E821" s="1" t="s">
        <v>5749</v>
      </c>
      <c r="F821" s="1" t="s">
        <v>5750</v>
      </c>
      <c r="G821" s="1">
        <v>87</v>
      </c>
      <c r="H821" s="1">
        <v>5</v>
      </c>
      <c r="I821" s="1">
        <v>2022</v>
      </c>
      <c r="J821" s="1">
        <v>112</v>
      </c>
      <c r="K821" s="1">
        <v>5</v>
      </c>
      <c r="L821" s="1">
        <v>1424</v>
      </c>
      <c r="M821" s="1">
        <v>1440</v>
      </c>
      <c r="N821" s="1" t="s">
        <v>6</v>
      </c>
      <c r="O821" s="1" t="s">
        <v>5751</v>
      </c>
      <c r="P821" s="3" t="str">
        <f>HYPERLINK("http://dx.doi.org/10.1080/24694452.2021.1976097","http://dx.doi.org/10.1080/24694452.2021.1976097")</f>
        <v>http://dx.doi.org/10.1080/24694452.2021.1976097</v>
      </c>
    </row>
    <row r="822" spans="1:16" ht="15.75" customHeight="1">
      <c r="A822" s="1" t="s">
        <v>10</v>
      </c>
      <c r="B822" s="1" t="s">
        <v>1498</v>
      </c>
      <c r="C822" s="1" t="s">
        <v>1499</v>
      </c>
      <c r="D822" s="1" t="s">
        <v>1500</v>
      </c>
      <c r="E822" s="1" t="s">
        <v>1501</v>
      </c>
      <c r="F822" s="1" t="s">
        <v>1502</v>
      </c>
      <c r="H822" s="1">
        <v>5</v>
      </c>
      <c r="I822" s="1">
        <v>2022</v>
      </c>
      <c r="J822" s="1">
        <v>2022</v>
      </c>
      <c r="K822" s="1">
        <v>81</v>
      </c>
      <c r="O822" s="1" t="s">
        <v>1503</v>
      </c>
    </row>
    <row r="823" spans="1:16" ht="15.75" customHeight="1">
      <c r="A823" s="1" t="s">
        <v>10</v>
      </c>
      <c r="B823" s="1" t="s">
        <v>3090</v>
      </c>
      <c r="C823" s="1" t="s">
        <v>3091</v>
      </c>
      <c r="D823" s="1" t="s">
        <v>452</v>
      </c>
      <c r="E823" s="1" t="s">
        <v>3092</v>
      </c>
      <c r="F823" s="1" t="s">
        <v>3093</v>
      </c>
      <c r="H823" s="1">
        <v>5</v>
      </c>
      <c r="I823" s="1">
        <v>2022</v>
      </c>
      <c r="J823" s="1">
        <v>78</v>
      </c>
      <c r="O823" s="1" t="s">
        <v>3094</v>
      </c>
    </row>
    <row r="824" spans="1:16" ht="15.75" customHeight="1">
      <c r="A824" s="1" t="s">
        <v>10</v>
      </c>
      <c r="B824" s="1" t="s">
        <v>1356</v>
      </c>
      <c r="C824" s="1" t="s">
        <v>1357</v>
      </c>
      <c r="D824" s="1" t="s">
        <v>1358</v>
      </c>
      <c r="E824" s="1" t="s">
        <v>1359</v>
      </c>
      <c r="F824" s="1" t="s">
        <v>1360</v>
      </c>
      <c r="H824" s="1">
        <v>5</v>
      </c>
      <c r="I824" s="1">
        <v>2022</v>
      </c>
      <c r="J824" s="1">
        <v>21</v>
      </c>
      <c r="K824" s="1">
        <v>1</v>
      </c>
      <c r="O824" s="1" t="s">
        <v>1361</v>
      </c>
    </row>
    <row r="825" spans="1:16" ht="15.75" customHeight="1">
      <c r="A825" s="1" t="s">
        <v>10</v>
      </c>
      <c r="B825" s="1" t="s">
        <v>268</v>
      </c>
      <c r="C825" s="1" t="s">
        <v>269</v>
      </c>
      <c r="D825" s="1" t="s">
        <v>270</v>
      </c>
      <c r="E825" s="1" t="s">
        <v>271</v>
      </c>
      <c r="F825" s="1" t="s">
        <v>272</v>
      </c>
      <c r="H825" s="1">
        <v>5</v>
      </c>
      <c r="I825" s="1">
        <v>2022</v>
      </c>
      <c r="J825" s="1">
        <v>29</v>
      </c>
      <c r="K825" s="1">
        <v>1</v>
      </c>
      <c r="O825" s="1" t="s">
        <v>273</v>
      </c>
    </row>
    <row r="826" spans="1:16" ht="15.75" customHeight="1">
      <c r="A826" s="1" t="s">
        <v>0</v>
      </c>
      <c r="B826" s="2" t="s">
        <v>741</v>
      </c>
      <c r="C826" s="1" t="s">
        <v>742</v>
      </c>
      <c r="D826" s="1" t="s">
        <v>743</v>
      </c>
      <c r="E826" s="1" t="s">
        <v>744</v>
      </c>
      <c r="F826" s="1" t="s">
        <v>745</v>
      </c>
      <c r="G826" s="1">
        <v>54</v>
      </c>
      <c r="H826" s="1">
        <v>5</v>
      </c>
      <c r="I826" s="1">
        <v>2022</v>
      </c>
      <c r="J826" s="1">
        <v>20</v>
      </c>
      <c r="K826" s="1">
        <v>3</v>
      </c>
      <c r="L826" s="1">
        <v>282</v>
      </c>
      <c r="M826" s="1">
        <v>298</v>
      </c>
      <c r="N826" s="1" t="s">
        <v>6</v>
      </c>
      <c r="O826" s="1" t="s">
        <v>746</v>
      </c>
      <c r="P826" s="3" t="str">
        <f>HYPERLINK("http://dx.doi.org/10.1080/15332985.2021.2007438","http://dx.doi.org/10.1080/15332985.2021.2007438")</f>
        <v>http://dx.doi.org/10.1080/15332985.2021.2007438</v>
      </c>
    </row>
    <row r="827" spans="1:16" ht="15.75" customHeight="1">
      <c r="A827" s="1" t="s">
        <v>0</v>
      </c>
      <c r="B827" s="1" t="s">
        <v>6417</v>
      </c>
      <c r="C827" s="1" t="s">
        <v>6418</v>
      </c>
      <c r="D827" s="1" t="s">
        <v>1645</v>
      </c>
      <c r="E827" s="1" t="s">
        <v>6419</v>
      </c>
      <c r="F827" s="1" t="s">
        <v>6420</v>
      </c>
      <c r="G827" s="1">
        <v>61</v>
      </c>
      <c r="H827" s="1">
        <v>5</v>
      </c>
      <c r="I827" s="1">
        <v>2022</v>
      </c>
      <c r="J827" s="1">
        <v>107</v>
      </c>
      <c r="K827" s="1">
        <v>2</v>
      </c>
      <c r="L827" s="1" t="s">
        <v>6</v>
      </c>
      <c r="M827" s="1" t="s">
        <v>6</v>
      </c>
      <c r="N827" s="1" t="s">
        <v>6421</v>
      </c>
      <c r="O827" s="1" t="s">
        <v>6422</v>
      </c>
      <c r="P827" s="3" t="str">
        <f>HYPERLINK("http://dx.doi.org/10.5565/rev/papers.2998","http://dx.doi.org/10.5565/rev/papers.2998")</f>
        <v>http://dx.doi.org/10.5565/rev/papers.2998</v>
      </c>
    </row>
    <row r="828" spans="1:16" ht="15.75" customHeight="1">
      <c r="A828" s="1" t="s">
        <v>0</v>
      </c>
      <c r="B828" s="1" t="s">
        <v>304</v>
      </c>
      <c r="C828" s="2" t="s">
        <v>305</v>
      </c>
      <c r="D828" s="1" t="s">
        <v>306</v>
      </c>
      <c r="E828" s="1" t="s">
        <v>307</v>
      </c>
      <c r="F828" s="1" t="s">
        <v>308</v>
      </c>
      <c r="G828" s="1">
        <v>40</v>
      </c>
      <c r="H828" s="1">
        <v>5</v>
      </c>
      <c r="I828" s="1">
        <v>2022</v>
      </c>
      <c r="J828" s="1">
        <v>159</v>
      </c>
      <c r="K828" s="1">
        <v>3</v>
      </c>
      <c r="L828" s="1">
        <v>945</v>
      </c>
      <c r="M828" s="1">
        <v>965</v>
      </c>
      <c r="N828" s="1" t="s">
        <v>6</v>
      </c>
      <c r="O828" s="1" t="s">
        <v>309</v>
      </c>
      <c r="P828" s="3" t="str">
        <f>HYPERLINK("http://dx.doi.org/10.1007/s11205-021-02782-9","http://dx.doi.org/10.1007/s11205-021-02782-9")</f>
        <v>http://dx.doi.org/10.1007/s11205-021-02782-9</v>
      </c>
    </row>
    <row r="829" spans="1:16" ht="15.75" customHeight="1">
      <c r="A829" s="1" t="s">
        <v>0</v>
      </c>
      <c r="B829" s="1" t="s">
        <v>7063</v>
      </c>
      <c r="C829" s="1" t="s">
        <v>7064</v>
      </c>
      <c r="D829" s="1" t="s">
        <v>7065</v>
      </c>
      <c r="E829" s="1" t="s">
        <v>7066</v>
      </c>
      <c r="F829" s="1" t="s">
        <v>7067</v>
      </c>
      <c r="G829" s="1">
        <v>82</v>
      </c>
      <c r="H829" s="1">
        <v>5</v>
      </c>
      <c r="I829" s="1">
        <v>2022</v>
      </c>
      <c r="J829" s="1">
        <v>28</v>
      </c>
      <c r="K829" s="1">
        <v>3</v>
      </c>
      <c r="L829" s="1">
        <v>413</v>
      </c>
      <c r="M829" s="1">
        <v>426</v>
      </c>
      <c r="N829" s="1" t="s">
        <v>6</v>
      </c>
      <c r="O829" s="1" t="s">
        <v>7068</v>
      </c>
      <c r="P829" s="3" t="str">
        <f>HYPERLINK("http://dx.doi.org/10.1037/cdp0000426","http://dx.doi.org/10.1037/cdp0000426")</f>
        <v>http://dx.doi.org/10.1037/cdp0000426</v>
      </c>
    </row>
    <row r="830" spans="1:16" ht="15.75" customHeight="1">
      <c r="A830" s="1" t="s">
        <v>10</v>
      </c>
      <c r="B830" s="1" t="s">
        <v>6391</v>
      </c>
      <c r="C830" s="1" t="s">
        <v>6392</v>
      </c>
      <c r="D830" s="1" t="s">
        <v>5682</v>
      </c>
      <c r="E830" s="1" t="s">
        <v>6393</v>
      </c>
      <c r="F830" s="1" t="s">
        <v>6394</v>
      </c>
      <c r="H830" s="1">
        <v>4</v>
      </c>
      <c r="I830" s="1">
        <v>2022</v>
      </c>
      <c r="J830" s="1">
        <v>12</v>
      </c>
      <c r="K830" s="1">
        <v>2</v>
      </c>
      <c r="O830" s="1" t="s">
        <v>6395</v>
      </c>
    </row>
    <row r="831" spans="1:16" ht="15.75" customHeight="1">
      <c r="A831" s="1" t="s">
        <v>10</v>
      </c>
      <c r="B831" s="1" t="s">
        <v>4189</v>
      </c>
      <c r="C831" s="1" t="s">
        <v>4190</v>
      </c>
      <c r="D831" s="1" t="s">
        <v>1140</v>
      </c>
      <c r="E831" s="1" t="s">
        <v>4191</v>
      </c>
      <c r="F831" s="1" t="s">
        <v>4192</v>
      </c>
      <c r="H831" s="1">
        <v>4</v>
      </c>
      <c r="I831" s="1">
        <v>2022</v>
      </c>
      <c r="J831" s="1">
        <v>45</v>
      </c>
      <c r="O831" s="1" t="s">
        <v>4193</v>
      </c>
    </row>
    <row r="832" spans="1:16" ht="15.75" customHeight="1">
      <c r="A832" s="1" t="s">
        <v>0</v>
      </c>
      <c r="B832" s="1" t="s">
        <v>256</v>
      </c>
      <c r="C832" s="1" t="s">
        <v>257</v>
      </c>
      <c r="D832" s="1" t="s">
        <v>258</v>
      </c>
      <c r="E832" s="1" t="s">
        <v>259</v>
      </c>
      <c r="F832" s="1" t="s">
        <v>260</v>
      </c>
      <c r="G832" s="1">
        <v>83</v>
      </c>
      <c r="H832" s="1">
        <v>4</v>
      </c>
      <c r="I832" s="1">
        <v>2022</v>
      </c>
      <c r="J832" s="1">
        <v>28</v>
      </c>
      <c r="K832" s="1">
        <v>4</v>
      </c>
      <c r="L832" s="1">
        <v>408</v>
      </c>
      <c r="M832" s="1">
        <v>428</v>
      </c>
      <c r="N832" s="1" t="s">
        <v>6</v>
      </c>
      <c r="O832" s="1" t="s">
        <v>261</v>
      </c>
      <c r="P832" s="3" t="str">
        <f>HYPERLINK("http://dx.doi.org/10.1080/13569775.2021.2008617","http://dx.doi.org/10.1080/13569775.2021.2008617")</f>
        <v>http://dx.doi.org/10.1080/13569775.2021.2008617</v>
      </c>
    </row>
    <row r="833" spans="1:16" ht="15.75" customHeight="1">
      <c r="A833" s="1" t="s">
        <v>0</v>
      </c>
      <c r="B833" s="1" t="s">
        <v>589</v>
      </c>
      <c r="C833" s="1" t="s">
        <v>590</v>
      </c>
      <c r="D833" s="1" t="s">
        <v>195</v>
      </c>
      <c r="E833" s="1" t="s">
        <v>591</v>
      </c>
      <c r="F833" s="1" t="s">
        <v>592</v>
      </c>
      <c r="G833" s="1">
        <v>122</v>
      </c>
      <c r="H833" s="1">
        <v>4</v>
      </c>
      <c r="I833" s="1">
        <v>2022</v>
      </c>
      <c r="J833" s="1">
        <v>54</v>
      </c>
      <c r="K833" s="1">
        <v>3</v>
      </c>
      <c r="L833" s="1">
        <v>419</v>
      </c>
      <c r="M833" s="1">
        <v>438</v>
      </c>
      <c r="N833" s="1" t="s">
        <v>6</v>
      </c>
      <c r="O833" s="1" t="s">
        <v>593</v>
      </c>
      <c r="P833" s="3" t="str">
        <f>HYPERLINK("http://dx.doi.org/10.4067/S0717-73562022005001201","http://dx.doi.org/10.4067/S0717-73562022005001201")</f>
        <v>http://dx.doi.org/10.4067/S0717-73562022005001201</v>
      </c>
    </row>
    <row r="834" spans="1:16" ht="15.75" customHeight="1">
      <c r="A834" s="1" t="s">
        <v>0</v>
      </c>
      <c r="B834" s="1" t="s">
        <v>3107</v>
      </c>
      <c r="C834" s="1" t="s">
        <v>3108</v>
      </c>
      <c r="D834" s="1" t="s">
        <v>1325</v>
      </c>
      <c r="E834" s="1" t="s">
        <v>3109</v>
      </c>
      <c r="F834" s="1" t="s">
        <v>3110</v>
      </c>
      <c r="G834" s="1">
        <v>72</v>
      </c>
      <c r="H834" s="1">
        <v>4</v>
      </c>
      <c r="I834" s="1">
        <v>2022</v>
      </c>
      <c r="J834" s="1">
        <v>23</v>
      </c>
      <c r="K834" s="1">
        <v>1</v>
      </c>
      <c r="L834" s="1">
        <v>227</v>
      </c>
      <c r="M834" s="1">
        <v>242</v>
      </c>
      <c r="N834" s="1" t="s">
        <v>6</v>
      </c>
      <c r="O834" s="1" t="s">
        <v>3111</v>
      </c>
      <c r="P834" s="3" t="str">
        <f>HYPERLINK("http://dx.doi.org/10.1007/s12134-021-00832-2","http://dx.doi.org/10.1007/s12134-021-00832-2")</f>
        <v>http://dx.doi.org/10.1007/s12134-021-00832-2</v>
      </c>
    </row>
    <row r="835" spans="1:16" ht="15.75" customHeight="1">
      <c r="A835" s="1" t="s">
        <v>0</v>
      </c>
      <c r="B835" s="1" t="s">
        <v>6016</v>
      </c>
      <c r="C835" s="1" t="s">
        <v>6017</v>
      </c>
      <c r="D835" s="1" t="s">
        <v>824</v>
      </c>
      <c r="E835" s="1" t="s">
        <v>6018</v>
      </c>
      <c r="F835" s="1" t="s">
        <v>6019</v>
      </c>
      <c r="G835" s="1">
        <v>68</v>
      </c>
      <c r="H835" s="1">
        <v>4</v>
      </c>
      <c r="I835" s="1">
        <v>2022</v>
      </c>
      <c r="J835" s="1">
        <v>45</v>
      </c>
      <c r="K835" s="1">
        <v>6</v>
      </c>
      <c r="L835" s="1">
        <v>1155</v>
      </c>
      <c r="M835" s="1">
        <v>1176</v>
      </c>
      <c r="N835" s="1" t="s">
        <v>6</v>
      </c>
      <c r="O835" s="1" t="s">
        <v>6020</v>
      </c>
      <c r="P835" s="3" t="str">
        <f>HYPERLINK("http://dx.doi.org/10.1080/01419870.2021.1986629","http://dx.doi.org/10.1080/01419870.2021.1986629")</f>
        <v>http://dx.doi.org/10.1080/01419870.2021.1986629</v>
      </c>
    </row>
    <row r="836" spans="1:16" ht="15.75" customHeight="1">
      <c r="A836" s="1" t="s">
        <v>10</v>
      </c>
      <c r="B836" s="1" t="s">
        <v>1438</v>
      </c>
      <c r="C836" s="1" t="s">
        <v>1439</v>
      </c>
      <c r="D836" s="1" t="s">
        <v>1440</v>
      </c>
      <c r="E836" s="1" t="s">
        <v>1441</v>
      </c>
      <c r="F836" s="1" t="s">
        <v>1442</v>
      </c>
      <c r="H836" s="1">
        <v>3</v>
      </c>
      <c r="I836" s="1">
        <v>2022</v>
      </c>
      <c r="J836" s="1">
        <v>31</v>
      </c>
      <c r="K836" s="1">
        <v>4</v>
      </c>
    </row>
    <row r="837" spans="1:16" ht="15.75" customHeight="1">
      <c r="A837" s="1" t="s">
        <v>10</v>
      </c>
      <c r="B837" s="1" t="s">
        <v>983</v>
      </c>
      <c r="C837" s="1" t="s">
        <v>984</v>
      </c>
      <c r="D837" s="1" t="s">
        <v>94</v>
      </c>
      <c r="E837" s="1" t="s">
        <v>985</v>
      </c>
      <c r="F837" s="1" t="s">
        <v>986</v>
      </c>
      <c r="H837" s="1">
        <v>3</v>
      </c>
      <c r="I837" s="1">
        <v>2022</v>
      </c>
      <c r="J837" s="1">
        <v>20</v>
      </c>
      <c r="K837" s="1">
        <v>2</v>
      </c>
      <c r="O837" s="1" t="s">
        <v>987</v>
      </c>
    </row>
    <row r="838" spans="1:16" ht="15.75" customHeight="1">
      <c r="A838" s="1" t="s">
        <v>10</v>
      </c>
      <c r="B838" s="1" t="s">
        <v>6785</v>
      </c>
      <c r="C838" s="1" t="s">
        <v>6786</v>
      </c>
      <c r="D838" s="1" t="s">
        <v>70</v>
      </c>
      <c r="E838" s="1" t="s">
        <v>6787</v>
      </c>
      <c r="F838" s="1" t="s">
        <v>6788</v>
      </c>
      <c r="H838" s="1">
        <v>3</v>
      </c>
      <c r="I838" s="1">
        <v>2022</v>
      </c>
      <c r="J838" s="1">
        <v>13</v>
      </c>
      <c r="O838" s="1" t="s">
        <v>6789</v>
      </c>
    </row>
    <row r="839" spans="1:16" ht="15.75" customHeight="1">
      <c r="A839" s="1" t="s">
        <v>10</v>
      </c>
      <c r="B839" s="1" t="s">
        <v>4846</v>
      </c>
      <c r="C839" s="1" t="s">
        <v>4847</v>
      </c>
      <c r="D839" s="1" t="s">
        <v>300</v>
      </c>
      <c r="E839" s="1" t="s">
        <v>4848</v>
      </c>
      <c r="F839" s="1" t="s">
        <v>4849</v>
      </c>
      <c r="H839" s="1">
        <v>3</v>
      </c>
      <c r="I839" s="1">
        <v>2022</v>
      </c>
      <c r="J839" s="1">
        <v>43</v>
      </c>
      <c r="K839" s="1">
        <v>5</v>
      </c>
      <c r="O839" s="1" t="s">
        <v>4850</v>
      </c>
    </row>
    <row r="840" spans="1:16" ht="15.75" customHeight="1">
      <c r="A840" s="1" t="s">
        <v>10</v>
      </c>
      <c r="B840" s="1" t="s">
        <v>1856</v>
      </c>
      <c r="C840" s="1" t="s">
        <v>1857</v>
      </c>
      <c r="D840" s="1" t="s">
        <v>1858</v>
      </c>
      <c r="E840" s="1" t="s">
        <v>1859</v>
      </c>
      <c r="F840" s="1" t="s">
        <v>1860</v>
      </c>
      <c r="H840" s="1">
        <v>3</v>
      </c>
      <c r="I840" s="1">
        <v>2022</v>
      </c>
      <c r="J840" s="1">
        <v>25</v>
      </c>
      <c r="K840" s="1">
        <v>45</v>
      </c>
      <c r="O840" s="1" t="s">
        <v>1861</v>
      </c>
    </row>
    <row r="841" spans="1:16" ht="15.75" customHeight="1">
      <c r="A841" s="1" t="s">
        <v>0</v>
      </c>
      <c r="B841" s="1" t="s">
        <v>6578</v>
      </c>
      <c r="C841" s="1" t="s">
        <v>6579</v>
      </c>
      <c r="D841" s="1" t="s">
        <v>6580</v>
      </c>
      <c r="E841" s="1" t="s">
        <v>6581</v>
      </c>
      <c r="F841" s="1" t="s">
        <v>6582</v>
      </c>
      <c r="G841" s="1">
        <v>41</v>
      </c>
      <c r="H841" s="1">
        <v>3</v>
      </c>
      <c r="I841" s="1">
        <v>2022</v>
      </c>
      <c r="J841" s="1" t="s">
        <v>6</v>
      </c>
      <c r="K841" s="1">
        <v>94</v>
      </c>
      <c r="L841" s="1">
        <v>115</v>
      </c>
      <c r="M841" s="1">
        <v>128</v>
      </c>
      <c r="N841" s="1" t="s">
        <v>6</v>
      </c>
      <c r="O841" s="1" t="s">
        <v>6583</v>
      </c>
      <c r="P841" s="3" t="str">
        <f>HYPERLINK("http://dx.doi.org/10.3167/fcl.2021.031103","http://dx.doi.org/10.3167/fcl.2021.031103")</f>
        <v>http://dx.doi.org/10.3167/fcl.2021.031103</v>
      </c>
    </row>
    <row r="842" spans="1:16" ht="15.75" customHeight="1">
      <c r="A842" s="1" t="s">
        <v>0</v>
      </c>
      <c r="B842" s="1" t="s">
        <v>1936</v>
      </c>
      <c r="C842" s="1" t="s">
        <v>1937</v>
      </c>
      <c r="D842" s="1" t="s">
        <v>1938</v>
      </c>
      <c r="E842" s="1" t="s">
        <v>1939</v>
      </c>
      <c r="F842" s="1" t="s">
        <v>1940</v>
      </c>
      <c r="G842" s="1">
        <v>32</v>
      </c>
      <c r="H842" s="1">
        <v>3</v>
      </c>
      <c r="I842" s="1">
        <v>2022</v>
      </c>
      <c r="J842" s="1">
        <v>10</v>
      </c>
      <c r="K842" s="1">
        <v>1</v>
      </c>
      <c r="L842" s="1">
        <v>171</v>
      </c>
      <c r="M842" s="1">
        <v>187</v>
      </c>
      <c r="N842" s="1" t="s">
        <v>6</v>
      </c>
      <c r="O842" s="1" t="s">
        <v>1941</v>
      </c>
      <c r="P842" s="3" t="str">
        <f>HYPERLINK("http://dx.doi.org/10.1017/psrm.2020.33","http://dx.doi.org/10.1017/psrm.2020.33")</f>
        <v>http://dx.doi.org/10.1017/psrm.2020.33</v>
      </c>
    </row>
    <row r="843" spans="1:16" ht="15.75" customHeight="1">
      <c r="A843" s="1" t="s">
        <v>0</v>
      </c>
      <c r="B843" s="1" t="s">
        <v>3118</v>
      </c>
      <c r="C843" s="1" t="s">
        <v>3119</v>
      </c>
      <c r="D843" s="1" t="s">
        <v>2207</v>
      </c>
      <c r="E843" s="1" t="s">
        <v>3120</v>
      </c>
      <c r="F843" s="1" t="s">
        <v>3121</v>
      </c>
      <c r="G843" s="1">
        <v>47</v>
      </c>
      <c r="H843" s="1">
        <v>3</v>
      </c>
      <c r="I843" s="1">
        <v>2022</v>
      </c>
      <c r="J843" s="1">
        <v>31</v>
      </c>
      <c r="K843" s="1" t="s">
        <v>955</v>
      </c>
      <c r="O843" s="1" t="s">
        <v>3122</v>
      </c>
    </row>
    <row r="844" spans="1:16" ht="15.75" customHeight="1">
      <c r="A844" s="1" t="s">
        <v>0</v>
      </c>
      <c r="B844" s="1" t="s">
        <v>1902</v>
      </c>
      <c r="C844" s="1" t="s">
        <v>1903</v>
      </c>
      <c r="D844" s="1" t="s">
        <v>1904</v>
      </c>
      <c r="E844" s="1" t="s">
        <v>1905</v>
      </c>
      <c r="F844" s="1" t="s">
        <v>1906</v>
      </c>
      <c r="G844" s="1">
        <v>66</v>
      </c>
      <c r="H844" s="1">
        <v>3</v>
      </c>
      <c r="I844" s="1">
        <v>2022</v>
      </c>
      <c r="J844" s="1" t="s">
        <v>6</v>
      </c>
      <c r="K844" s="1" t="s">
        <v>6</v>
      </c>
      <c r="L844" s="1" t="s">
        <v>6</v>
      </c>
      <c r="M844" s="1" t="s">
        <v>6</v>
      </c>
      <c r="N844" s="1" t="s">
        <v>6</v>
      </c>
      <c r="O844" s="1" t="s">
        <v>1907</v>
      </c>
      <c r="P844" s="3" t="str">
        <f>HYPERLINK("http://dx.doi.org/10.1080/15562948.2022.2132570","http://dx.doi.org/10.1080/15562948.2022.2132570")</f>
        <v>http://dx.doi.org/10.1080/15562948.2022.2132570</v>
      </c>
    </row>
    <row r="845" spans="1:16" ht="15.75" customHeight="1">
      <c r="A845" s="1" t="s">
        <v>10</v>
      </c>
      <c r="B845" s="1" t="s">
        <v>5806</v>
      </c>
      <c r="C845" s="1" t="s">
        <v>5807</v>
      </c>
      <c r="D845" s="1" t="s">
        <v>5808</v>
      </c>
      <c r="E845" s="1" t="s">
        <v>5809</v>
      </c>
      <c r="F845" s="1" t="s">
        <v>5810</v>
      </c>
      <c r="H845" s="1">
        <v>3</v>
      </c>
      <c r="I845" s="1">
        <v>2022</v>
      </c>
      <c r="J845" s="1">
        <v>112</v>
      </c>
      <c r="K845" s="1">
        <v>5</v>
      </c>
      <c r="O845" s="1" t="s">
        <v>5811</v>
      </c>
    </row>
    <row r="846" spans="1:16" ht="15.75" customHeight="1">
      <c r="A846" s="1" t="s">
        <v>0</v>
      </c>
      <c r="B846" s="1" t="s">
        <v>2408</v>
      </c>
      <c r="C846" s="1" t="s">
        <v>2409</v>
      </c>
      <c r="D846" s="1" t="s">
        <v>572</v>
      </c>
      <c r="E846" s="1" t="s">
        <v>2410</v>
      </c>
      <c r="F846" s="1" t="s">
        <v>2411</v>
      </c>
      <c r="G846" s="1">
        <v>75</v>
      </c>
      <c r="H846" s="1">
        <v>3</v>
      </c>
      <c r="I846" s="1">
        <v>2022</v>
      </c>
      <c r="J846" s="1">
        <v>49</v>
      </c>
      <c r="K846" s="1">
        <v>90</v>
      </c>
      <c r="L846" s="1">
        <v>119</v>
      </c>
      <c r="M846" s="1">
        <v>146</v>
      </c>
      <c r="N846" s="1" t="s">
        <v>6</v>
      </c>
      <c r="O846" s="1" t="s">
        <v>2412</v>
      </c>
      <c r="P846" s="3" t="str">
        <f>HYPERLINK("http://dx.doi.org/10.21678/apuntes.90.1409","http://dx.doi.org/10.21678/apuntes.90.1409")</f>
        <v>http://dx.doi.org/10.21678/apuntes.90.1409</v>
      </c>
    </row>
    <row r="847" spans="1:16" ht="15.75" customHeight="1">
      <c r="A847" s="1" t="s">
        <v>0</v>
      </c>
      <c r="B847" s="1" t="s">
        <v>1426</v>
      </c>
      <c r="C847" s="1" t="s">
        <v>1427</v>
      </c>
      <c r="D847" s="1" t="s">
        <v>1428</v>
      </c>
      <c r="E847" s="1" t="s">
        <v>1429</v>
      </c>
      <c r="F847" s="1" t="s">
        <v>1430</v>
      </c>
      <c r="G847" s="1">
        <v>93</v>
      </c>
      <c r="H847" s="1">
        <v>3</v>
      </c>
      <c r="I847" s="1">
        <v>2022</v>
      </c>
      <c r="J847" s="1" t="s">
        <v>6</v>
      </c>
      <c r="K847" s="1">
        <v>89</v>
      </c>
      <c r="L847" s="1">
        <v>229</v>
      </c>
      <c r="M847" s="1">
        <v>260</v>
      </c>
      <c r="N847" s="1" t="s">
        <v>6</v>
      </c>
      <c r="O847" s="1" t="s">
        <v>1431</v>
      </c>
      <c r="P847" s="3" t="str">
        <f>HYPERLINK("http://dx.doi.org/10.18800/derechopucp.202202.008","http://dx.doi.org/10.18800/derechopucp.202202.008")</f>
        <v>http://dx.doi.org/10.18800/derechopucp.202202.008</v>
      </c>
    </row>
    <row r="848" spans="1:16" ht="15.75" customHeight="1">
      <c r="A848" s="1" t="s">
        <v>0</v>
      </c>
      <c r="B848" s="1" t="s">
        <v>1461</v>
      </c>
      <c r="C848" s="1" t="s">
        <v>1462</v>
      </c>
      <c r="D848" s="1" t="s">
        <v>58</v>
      </c>
      <c r="E848" s="1" t="s">
        <v>1463</v>
      </c>
      <c r="F848" s="1" t="s">
        <v>1464</v>
      </c>
      <c r="G848" s="1">
        <v>54</v>
      </c>
      <c r="H848" s="1">
        <v>3</v>
      </c>
      <c r="I848" s="1">
        <v>2022</v>
      </c>
      <c r="J848" s="1">
        <v>22</v>
      </c>
      <c r="K848" s="1">
        <v>1</v>
      </c>
      <c r="L848" s="1">
        <v>164</v>
      </c>
      <c r="M848" s="1">
        <v>192</v>
      </c>
      <c r="N848" s="1" t="s">
        <v>6</v>
      </c>
      <c r="O848" s="1" t="s">
        <v>6</v>
      </c>
      <c r="P848" s="1" t="s">
        <v>6</v>
      </c>
    </row>
    <row r="849" spans="1:16" ht="15.75" customHeight="1">
      <c r="A849" s="1" t="s">
        <v>0</v>
      </c>
      <c r="B849" s="1" t="s">
        <v>6126</v>
      </c>
      <c r="C849" s="1" t="s">
        <v>6127</v>
      </c>
      <c r="D849" s="1" t="s">
        <v>3565</v>
      </c>
      <c r="E849" s="1" t="s">
        <v>7104</v>
      </c>
      <c r="F849" s="1" t="s">
        <v>6128</v>
      </c>
      <c r="G849" s="1">
        <v>69</v>
      </c>
      <c r="H849" s="1">
        <v>2</v>
      </c>
      <c r="I849" s="1">
        <v>2022</v>
      </c>
      <c r="J849" s="1">
        <v>13</v>
      </c>
      <c r="O849" s="1" t="s">
        <v>6129</v>
      </c>
    </row>
    <row r="850" spans="1:16" ht="15.75" customHeight="1">
      <c r="A850" s="1" t="s">
        <v>10</v>
      </c>
      <c r="B850" s="1" t="s">
        <v>5128</v>
      </c>
      <c r="C850" s="1" t="s">
        <v>5129</v>
      </c>
      <c r="D850" s="1" t="s">
        <v>858</v>
      </c>
      <c r="E850" s="1" t="s">
        <v>5130</v>
      </c>
      <c r="F850" s="1" t="s">
        <v>5131</v>
      </c>
      <c r="H850" s="1">
        <v>2</v>
      </c>
      <c r="I850" s="1">
        <v>2022</v>
      </c>
      <c r="J850" s="1">
        <v>41</v>
      </c>
      <c r="K850" s="1">
        <v>3</v>
      </c>
      <c r="O850" s="1" t="s">
        <v>5132</v>
      </c>
    </row>
    <row r="851" spans="1:16" ht="15.75" customHeight="1">
      <c r="A851" s="1" t="s">
        <v>0</v>
      </c>
      <c r="B851" s="1" t="s">
        <v>4069</v>
      </c>
      <c r="C851" s="1" t="s">
        <v>4070</v>
      </c>
      <c r="D851" s="1" t="s">
        <v>4071</v>
      </c>
      <c r="E851" s="1" t="s">
        <v>4072</v>
      </c>
      <c r="F851" s="1" t="s">
        <v>4073</v>
      </c>
      <c r="G851" s="1">
        <v>51</v>
      </c>
      <c r="H851" s="1">
        <v>2</v>
      </c>
      <c r="I851" s="1">
        <v>2022</v>
      </c>
      <c r="J851" s="1">
        <v>52</v>
      </c>
      <c r="K851" s="1">
        <v>6</v>
      </c>
      <c r="L851" s="1">
        <v>984</v>
      </c>
      <c r="M851" s="1">
        <v>997</v>
      </c>
      <c r="N851" s="1" t="s">
        <v>6</v>
      </c>
      <c r="O851" s="1" t="s">
        <v>4074</v>
      </c>
      <c r="P851" s="3" t="str">
        <f>HYPERLINK("http://dx.doi.org/10.1080/03057925.2020.1847045","http://dx.doi.org/10.1080/03057925.2020.1847045")</f>
        <v>http://dx.doi.org/10.1080/03057925.2020.1847045</v>
      </c>
    </row>
    <row r="852" spans="1:16" ht="15.75" customHeight="1">
      <c r="A852" s="1" t="s">
        <v>10</v>
      </c>
      <c r="B852" s="1" t="s">
        <v>6741</v>
      </c>
      <c r="C852" s="1" t="s">
        <v>6742</v>
      </c>
      <c r="D852" s="1" t="s">
        <v>6743</v>
      </c>
      <c r="E852" s="1" t="s">
        <v>6744</v>
      </c>
      <c r="F852" s="1" t="s">
        <v>6745</v>
      </c>
      <c r="H852" s="1">
        <v>2</v>
      </c>
      <c r="I852" s="1">
        <v>2022</v>
      </c>
      <c r="J852" s="1">
        <v>9</v>
      </c>
      <c r="K852" s="1">
        <v>2</v>
      </c>
      <c r="O852" s="1" t="s">
        <v>6746</v>
      </c>
    </row>
    <row r="853" spans="1:16" ht="15.75" customHeight="1">
      <c r="A853" s="1" t="s">
        <v>10</v>
      </c>
      <c r="B853" s="1" t="s">
        <v>2773</v>
      </c>
      <c r="C853" s="1" t="s">
        <v>2774</v>
      </c>
      <c r="D853" s="1" t="s">
        <v>2775</v>
      </c>
      <c r="E853" s="1" t="s">
        <v>2776</v>
      </c>
      <c r="F853" s="1" t="s">
        <v>2777</v>
      </c>
      <c r="H853" s="1">
        <v>2</v>
      </c>
      <c r="I853" s="1">
        <v>2022</v>
      </c>
      <c r="J853" s="1">
        <v>53</v>
      </c>
      <c r="K853" s="1">
        <v>6</v>
      </c>
      <c r="O853" s="1" t="s">
        <v>2778</v>
      </c>
    </row>
    <row r="854" spans="1:16" ht="15.75" customHeight="1">
      <c r="A854" s="1" t="s">
        <v>10</v>
      </c>
      <c r="B854" s="1" t="s">
        <v>3340</v>
      </c>
      <c r="C854" s="1" t="s">
        <v>3341</v>
      </c>
      <c r="D854" s="1" t="s">
        <v>3342</v>
      </c>
      <c r="E854" s="1" t="s">
        <v>3343</v>
      </c>
      <c r="F854" s="1" t="s">
        <v>3344</v>
      </c>
      <c r="H854" s="1">
        <v>2</v>
      </c>
      <c r="I854" s="1">
        <v>2022</v>
      </c>
      <c r="J854" s="1">
        <v>18</v>
      </c>
      <c r="K854" s="1">
        <v>4</v>
      </c>
      <c r="O854" s="1" t="s">
        <v>3345</v>
      </c>
    </row>
    <row r="855" spans="1:16" ht="15.75" customHeight="1">
      <c r="A855" s="1" t="s">
        <v>0</v>
      </c>
      <c r="B855" s="1" t="s">
        <v>1554</v>
      </c>
      <c r="C855" s="1" t="s">
        <v>1555</v>
      </c>
      <c r="D855" s="1" t="s">
        <v>1556</v>
      </c>
      <c r="E855" s="1" t="s">
        <v>1557</v>
      </c>
      <c r="F855" s="1" t="s">
        <v>1558</v>
      </c>
      <c r="G855" s="1">
        <v>33</v>
      </c>
      <c r="H855" s="1">
        <v>2</v>
      </c>
      <c r="I855" s="1">
        <v>2022</v>
      </c>
      <c r="J855" s="1">
        <v>91</v>
      </c>
      <c r="K855" s="1" t="s">
        <v>6</v>
      </c>
      <c r="L855" s="1" t="s">
        <v>6</v>
      </c>
      <c r="M855" s="1" t="s">
        <v>6</v>
      </c>
      <c r="N855" s="1">
        <v>102314</v>
      </c>
      <c r="O855" s="1" t="s">
        <v>1559</v>
      </c>
      <c r="P855" s="3" t="str">
        <f>HYPERLINK("http://dx.doi.org/10.1016/j.econedurev.2022.102314","http://dx.doi.org/10.1016/j.econedurev.2022.102314")</f>
        <v>http://dx.doi.org/10.1016/j.econedurev.2022.102314</v>
      </c>
    </row>
    <row r="856" spans="1:16" ht="15.75" customHeight="1">
      <c r="A856" s="1" t="s">
        <v>0</v>
      </c>
      <c r="B856" s="1" t="s">
        <v>6672</v>
      </c>
      <c r="C856" s="1" t="s">
        <v>6673</v>
      </c>
      <c r="D856" s="2" t="s">
        <v>1358</v>
      </c>
      <c r="E856" s="1" t="s">
        <v>6674</v>
      </c>
      <c r="F856" s="1" t="s">
        <v>6675</v>
      </c>
      <c r="G856" s="1">
        <v>31</v>
      </c>
      <c r="H856" s="1">
        <v>2</v>
      </c>
      <c r="I856" s="1">
        <v>2022</v>
      </c>
      <c r="J856" s="1">
        <v>21</v>
      </c>
      <c r="K856" s="1" t="s">
        <v>378</v>
      </c>
      <c r="O856" s="1" t="s">
        <v>6676</v>
      </c>
    </row>
    <row r="857" spans="1:16" ht="15.75" customHeight="1">
      <c r="A857" s="1" t="s">
        <v>10</v>
      </c>
      <c r="B857" s="1" t="s">
        <v>4006</v>
      </c>
      <c r="C857" s="1" t="s">
        <v>4007</v>
      </c>
      <c r="D857" s="1" t="s">
        <v>4008</v>
      </c>
      <c r="E857" s="1" t="s">
        <v>4009</v>
      </c>
      <c r="F857" s="1" t="s">
        <v>4010</v>
      </c>
      <c r="H857" s="1">
        <v>2</v>
      </c>
      <c r="I857" s="1">
        <v>2022</v>
      </c>
      <c r="J857" s="1">
        <v>53</v>
      </c>
      <c r="O857" s="1" t="s">
        <v>4011</v>
      </c>
    </row>
    <row r="858" spans="1:16" ht="15.75" customHeight="1">
      <c r="A858" s="1" t="s">
        <v>0</v>
      </c>
      <c r="B858" s="1" t="s">
        <v>4091</v>
      </c>
      <c r="C858" s="1" t="s">
        <v>4092</v>
      </c>
      <c r="D858" s="1" t="s">
        <v>1325</v>
      </c>
      <c r="E858" s="1" t="s">
        <v>4093</v>
      </c>
      <c r="F858" s="1" t="s">
        <v>4094</v>
      </c>
      <c r="G858" s="1">
        <v>77</v>
      </c>
      <c r="H858" s="1">
        <v>2</v>
      </c>
      <c r="I858" s="1">
        <v>2022</v>
      </c>
      <c r="J858" s="1">
        <v>23</v>
      </c>
      <c r="K858" s="1">
        <v>4</v>
      </c>
      <c r="L858" s="1">
        <v>2125</v>
      </c>
      <c r="M858" s="1">
        <v>2146</v>
      </c>
      <c r="N858" s="1" t="s">
        <v>6</v>
      </c>
      <c r="O858" s="1" t="s">
        <v>4095</v>
      </c>
      <c r="P858" s="3" t="str">
        <f>HYPERLINK("http://dx.doi.org/10.1007/s12134-021-00928-9","http://dx.doi.org/10.1007/s12134-021-00928-9")</f>
        <v>http://dx.doi.org/10.1007/s12134-021-00928-9</v>
      </c>
    </row>
    <row r="859" spans="1:16" ht="15.75" customHeight="1">
      <c r="A859" s="1" t="s">
        <v>0</v>
      </c>
      <c r="B859" s="1" t="s">
        <v>5395</v>
      </c>
      <c r="C859" s="1" t="s">
        <v>5396</v>
      </c>
      <c r="D859" s="1" t="s">
        <v>509</v>
      </c>
      <c r="E859" s="1" t="s">
        <v>5397</v>
      </c>
      <c r="F859" s="1" t="s">
        <v>5398</v>
      </c>
      <c r="G859" s="1">
        <v>144</v>
      </c>
      <c r="H859" s="1">
        <v>2</v>
      </c>
      <c r="I859" s="1">
        <v>2022</v>
      </c>
      <c r="J859" s="1">
        <v>91</v>
      </c>
      <c r="K859" s="1" t="s">
        <v>6</v>
      </c>
      <c r="L859" s="1">
        <v>170</v>
      </c>
      <c r="M859" s="1">
        <v>190</v>
      </c>
      <c r="N859" s="1" t="s">
        <v>6</v>
      </c>
      <c r="O859" s="1" t="s">
        <v>5399</v>
      </c>
      <c r="P859" s="3" t="str">
        <f>HYPERLINK("http://dx.doi.org/10.1016/j.ijintrel.2022.09.009","http://dx.doi.org/10.1016/j.ijintrel.2022.09.009")</f>
        <v>http://dx.doi.org/10.1016/j.ijintrel.2022.09.009</v>
      </c>
    </row>
    <row r="860" spans="1:16" ht="15.75" customHeight="1">
      <c r="A860" s="1" t="s">
        <v>10</v>
      </c>
      <c r="B860" s="1" t="s">
        <v>906</v>
      </c>
      <c r="C860" s="1" t="s">
        <v>907</v>
      </c>
      <c r="D860" s="1" t="s">
        <v>76</v>
      </c>
      <c r="E860" s="1" t="s">
        <v>908</v>
      </c>
      <c r="F860" s="1" t="s">
        <v>909</v>
      </c>
      <c r="H860" s="1">
        <v>2</v>
      </c>
      <c r="I860" s="1">
        <v>2022</v>
      </c>
      <c r="J860" s="1">
        <v>35</v>
      </c>
      <c r="K860" s="1">
        <v>2</v>
      </c>
      <c r="O860" s="1" t="s">
        <v>910</v>
      </c>
    </row>
    <row r="861" spans="1:16" ht="15.75" customHeight="1">
      <c r="A861" s="1" t="s">
        <v>10</v>
      </c>
      <c r="B861" s="1" t="s">
        <v>4883</v>
      </c>
      <c r="C861" s="1" t="s">
        <v>4884</v>
      </c>
      <c r="D861" s="1" t="s">
        <v>2166</v>
      </c>
      <c r="E861" s="1" t="s">
        <v>4885</v>
      </c>
      <c r="F861" s="1" t="s">
        <v>4886</v>
      </c>
      <c r="H861" s="1">
        <v>2</v>
      </c>
      <c r="I861" s="1">
        <v>2022</v>
      </c>
      <c r="J861" s="1">
        <v>14</v>
      </c>
      <c r="K861" s="1">
        <v>2</v>
      </c>
      <c r="O861" s="1" t="s">
        <v>4887</v>
      </c>
    </row>
    <row r="862" spans="1:16" ht="15.75" customHeight="1">
      <c r="A862" s="1" t="s">
        <v>10</v>
      </c>
      <c r="B862" s="1" t="s">
        <v>4394</v>
      </c>
      <c r="C862" s="1" t="s">
        <v>4400</v>
      </c>
      <c r="D862" s="2" t="s">
        <v>4369</v>
      </c>
      <c r="E862" s="1" t="s">
        <v>4401</v>
      </c>
      <c r="F862" s="1" t="s">
        <v>4402</v>
      </c>
      <c r="H862" s="1">
        <v>2</v>
      </c>
      <c r="I862" s="1">
        <v>2022</v>
      </c>
      <c r="K862" s="1">
        <v>67</v>
      </c>
      <c r="O862" s="1" t="s">
        <v>4403</v>
      </c>
    </row>
    <row r="863" spans="1:16" ht="15.75" customHeight="1">
      <c r="A863" s="1" t="s">
        <v>0</v>
      </c>
      <c r="B863" s="1" t="s">
        <v>3213</v>
      </c>
      <c r="C863" s="1" t="s">
        <v>3214</v>
      </c>
      <c r="D863" s="1" t="s">
        <v>1602</v>
      </c>
      <c r="E863" s="1" t="s">
        <v>3215</v>
      </c>
      <c r="F863" s="1" t="s">
        <v>3216</v>
      </c>
      <c r="G863" s="1">
        <v>47</v>
      </c>
      <c r="H863" s="1">
        <v>2</v>
      </c>
      <c r="I863" s="1">
        <v>2022</v>
      </c>
      <c r="J863" s="1">
        <v>15</v>
      </c>
      <c r="K863" s="1" t="s">
        <v>6</v>
      </c>
      <c r="L863" s="1">
        <v>1</v>
      </c>
      <c r="M863" s="1">
        <v>21</v>
      </c>
      <c r="N863" s="1" t="s">
        <v>6</v>
      </c>
      <c r="O863" s="1" t="s">
        <v>3217</v>
      </c>
      <c r="P863" s="3" t="str">
        <f>HYPERLINK("http://dx.doi.org/10.11144/Javeriana.m15.peml","http://dx.doi.org/10.11144/Javeriana.m15.peml")</f>
        <v>http://dx.doi.org/10.11144/Javeriana.m15.peml</v>
      </c>
    </row>
    <row r="864" spans="1:16" ht="15.75" customHeight="1">
      <c r="A864" s="1" t="s">
        <v>0</v>
      </c>
      <c r="B864" s="1" t="s">
        <v>3966</v>
      </c>
      <c r="C864" s="1" t="s">
        <v>3967</v>
      </c>
      <c r="D864" s="1" t="s">
        <v>578</v>
      </c>
      <c r="E864" s="1" t="s">
        <v>3968</v>
      </c>
      <c r="F864" s="1" t="s">
        <v>3969</v>
      </c>
      <c r="G864" s="1">
        <v>42</v>
      </c>
      <c r="H864" s="1">
        <v>2</v>
      </c>
      <c r="I864" s="1">
        <v>2022</v>
      </c>
      <c r="J864" s="1">
        <v>17</v>
      </c>
      <c r="K864" s="1" t="s">
        <v>581</v>
      </c>
      <c r="O864" s="1" t="s">
        <v>3970</v>
      </c>
    </row>
    <row r="865" spans="1:16" ht="15.75" customHeight="1">
      <c r="A865" s="1" t="s">
        <v>10</v>
      </c>
      <c r="B865" s="1" t="s">
        <v>3855</v>
      </c>
      <c r="C865" s="1" t="s">
        <v>3856</v>
      </c>
      <c r="D865" s="1" t="s">
        <v>94</v>
      </c>
      <c r="E865" s="1" t="s">
        <v>3857</v>
      </c>
      <c r="F865" s="1" t="s">
        <v>3858</v>
      </c>
      <c r="H865" s="1">
        <v>2</v>
      </c>
      <c r="I865" s="1">
        <v>2022</v>
      </c>
      <c r="J865" s="1">
        <v>20</v>
      </c>
      <c r="K865" s="1">
        <v>3</v>
      </c>
      <c r="O865" s="1" t="s">
        <v>3859</v>
      </c>
    </row>
    <row r="866" spans="1:16" ht="15.75" customHeight="1">
      <c r="A866" s="1" t="s">
        <v>10</v>
      </c>
      <c r="B866" s="1" t="s">
        <v>3700</v>
      </c>
      <c r="C866" s="1" t="s">
        <v>3701</v>
      </c>
      <c r="D866" s="1" t="s">
        <v>3702</v>
      </c>
      <c r="E866" s="1" t="s">
        <v>3703</v>
      </c>
      <c r="F866" s="1" t="s">
        <v>3704</v>
      </c>
      <c r="H866" s="1">
        <v>2</v>
      </c>
      <c r="I866" s="1">
        <v>2022</v>
      </c>
      <c r="J866" s="1">
        <v>10</v>
      </c>
      <c r="K866" s="1">
        <v>1</v>
      </c>
      <c r="O866" s="1" t="s">
        <v>3705</v>
      </c>
    </row>
    <row r="867" spans="1:16" ht="15.75" customHeight="1">
      <c r="A867" s="1" t="s">
        <v>0</v>
      </c>
      <c r="B867" s="1" t="s">
        <v>2195</v>
      </c>
      <c r="C867" s="1" t="s">
        <v>2201</v>
      </c>
      <c r="D867" s="1" t="s">
        <v>1325</v>
      </c>
      <c r="E867" s="1" t="s">
        <v>2202</v>
      </c>
      <c r="F867" s="1" t="s">
        <v>2203</v>
      </c>
      <c r="G867" s="1">
        <v>68</v>
      </c>
      <c r="H867" s="1">
        <v>2</v>
      </c>
      <c r="I867" s="1">
        <v>2022</v>
      </c>
      <c r="J867" s="1">
        <v>23</v>
      </c>
      <c r="K867" s="1">
        <v>4</v>
      </c>
      <c r="L867" s="1">
        <v>1921</v>
      </c>
      <c r="M867" s="1">
        <v>1940</v>
      </c>
      <c r="N867" s="1" t="s">
        <v>6</v>
      </c>
      <c r="O867" s="1" t="s">
        <v>2204</v>
      </c>
      <c r="P867" s="3" t="str">
        <f>HYPERLINK("http://dx.doi.org/10.1007/s12134-021-00918-x","http://dx.doi.org/10.1007/s12134-021-00918-x")</f>
        <v>http://dx.doi.org/10.1007/s12134-021-00918-x</v>
      </c>
    </row>
    <row r="868" spans="1:16" ht="15.75" customHeight="1">
      <c r="A868" s="1" t="s">
        <v>0</v>
      </c>
      <c r="B868" s="1" t="s">
        <v>576</v>
      </c>
      <c r="C868" s="1" t="s">
        <v>577</v>
      </c>
      <c r="D868" s="1" t="s">
        <v>578</v>
      </c>
      <c r="E868" s="1" t="s">
        <v>579</v>
      </c>
      <c r="F868" s="1" t="s">
        <v>580</v>
      </c>
      <c r="G868" s="1">
        <v>48</v>
      </c>
      <c r="H868" s="1">
        <v>2</v>
      </c>
      <c r="I868" s="1">
        <v>2022</v>
      </c>
      <c r="J868" s="1">
        <v>17</v>
      </c>
      <c r="K868" s="1" t="s">
        <v>581</v>
      </c>
      <c r="O868" s="1" t="s">
        <v>582</v>
      </c>
    </row>
    <row r="869" spans="1:16" ht="15.75" customHeight="1">
      <c r="A869" s="1" t="s">
        <v>0</v>
      </c>
      <c r="B869" s="1" t="s">
        <v>1089</v>
      </c>
      <c r="C869" s="1" t="s">
        <v>1090</v>
      </c>
      <c r="D869" s="1" t="s">
        <v>578</v>
      </c>
      <c r="E869" s="1" t="s">
        <v>1091</v>
      </c>
      <c r="F869" s="1" t="s">
        <v>1092</v>
      </c>
      <c r="G869" s="1">
        <v>40</v>
      </c>
      <c r="H869" s="1">
        <v>2</v>
      </c>
      <c r="I869" s="1">
        <v>2022</v>
      </c>
      <c r="J869" s="1">
        <v>17</v>
      </c>
      <c r="K869" s="1" t="s">
        <v>1093</v>
      </c>
      <c r="O869" s="1" t="s">
        <v>1094</v>
      </c>
    </row>
    <row r="870" spans="1:16" ht="15.75" customHeight="1">
      <c r="A870" s="1" t="s">
        <v>0</v>
      </c>
      <c r="B870" s="1" t="s">
        <v>2486</v>
      </c>
      <c r="C870" s="1" t="s">
        <v>2496</v>
      </c>
      <c r="D870" s="1" t="s">
        <v>2497</v>
      </c>
      <c r="E870" s="1" t="s">
        <v>2498</v>
      </c>
      <c r="F870" s="1" t="s">
        <v>2499</v>
      </c>
      <c r="G870" s="1">
        <v>49</v>
      </c>
      <c r="H870" s="1">
        <v>2</v>
      </c>
      <c r="I870" s="1">
        <v>2022</v>
      </c>
      <c r="J870" s="1">
        <v>35</v>
      </c>
      <c r="K870" s="1">
        <v>3</v>
      </c>
      <c r="L870" s="1">
        <v>1089</v>
      </c>
      <c r="M870" s="1">
        <v>1106</v>
      </c>
      <c r="N870" s="1" t="s">
        <v>6</v>
      </c>
      <c r="O870" s="1" t="s">
        <v>2500</v>
      </c>
      <c r="P870" s="3" t="str">
        <f>HYPERLINK("http://dx.doi.org/10.1093/jrs/feaa098","http://dx.doi.org/10.1093/jrs/feaa098")</f>
        <v>http://dx.doi.org/10.1093/jrs/feaa098</v>
      </c>
    </row>
    <row r="871" spans="1:16" ht="15.75" customHeight="1">
      <c r="A871" s="1" t="s">
        <v>0</v>
      </c>
      <c r="B871" s="1" t="s">
        <v>4754</v>
      </c>
      <c r="C871" s="1" t="s">
        <v>4755</v>
      </c>
      <c r="D871" s="1" t="s">
        <v>4756</v>
      </c>
      <c r="E871" s="1" t="s">
        <v>4757</v>
      </c>
      <c r="F871" s="1" t="s">
        <v>4758</v>
      </c>
      <c r="G871" s="1">
        <v>67</v>
      </c>
      <c r="H871" s="1">
        <v>2</v>
      </c>
      <c r="I871" s="1">
        <v>2022</v>
      </c>
      <c r="J871" s="1">
        <v>16</v>
      </c>
      <c r="K871" s="1" t="s">
        <v>378</v>
      </c>
    </row>
    <row r="872" spans="1:16" ht="15.75" customHeight="1">
      <c r="A872" s="1" t="s">
        <v>0</v>
      </c>
      <c r="B872" s="1" t="s">
        <v>4086</v>
      </c>
      <c r="C872" s="1" t="s">
        <v>4087</v>
      </c>
      <c r="D872" s="1" t="s">
        <v>1330</v>
      </c>
      <c r="E872" s="1" t="s">
        <v>4088</v>
      </c>
      <c r="F872" s="1" t="s">
        <v>4089</v>
      </c>
      <c r="G872" s="1">
        <v>71</v>
      </c>
      <c r="H872" s="1">
        <v>2</v>
      </c>
      <c r="I872" s="1">
        <v>2022</v>
      </c>
      <c r="J872" s="1">
        <v>17</v>
      </c>
      <c r="K872" s="1">
        <v>4</v>
      </c>
      <c r="L872" s="1">
        <v>545</v>
      </c>
      <c r="M872" s="1">
        <v>564</v>
      </c>
      <c r="N872" s="1" t="s">
        <v>6</v>
      </c>
      <c r="O872" s="1" t="s">
        <v>4090</v>
      </c>
      <c r="P872" s="3" t="str">
        <f>HYPERLINK("http://dx.doi.org/10.1080/17450101.2021.1999776","http://dx.doi.org/10.1080/17450101.2021.1999776")</f>
        <v>http://dx.doi.org/10.1080/17450101.2021.1999776</v>
      </c>
    </row>
    <row r="873" spans="1:16" ht="15.75" customHeight="1">
      <c r="A873" s="1" t="s">
        <v>10</v>
      </c>
      <c r="B873" s="1" t="s">
        <v>3575</v>
      </c>
      <c r="C873" s="1" t="s">
        <v>3576</v>
      </c>
      <c r="D873" s="1" t="s">
        <v>94</v>
      </c>
      <c r="E873" s="1" t="s">
        <v>3577</v>
      </c>
      <c r="F873" s="1" t="s">
        <v>3578</v>
      </c>
      <c r="H873" s="1">
        <v>1</v>
      </c>
      <c r="I873" s="1">
        <v>2022</v>
      </c>
      <c r="J873" s="1">
        <v>20</v>
      </c>
      <c r="K873" s="1">
        <v>3</v>
      </c>
      <c r="O873" s="1" t="s">
        <v>3579</v>
      </c>
    </row>
    <row r="874" spans="1:16" ht="15.75" customHeight="1">
      <c r="A874" s="1" t="s">
        <v>10</v>
      </c>
      <c r="B874" s="1" t="s">
        <v>6498</v>
      </c>
      <c r="C874" s="1" t="s">
        <v>6499</v>
      </c>
      <c r="D874" s="1" t="s">
        <v>6500</v>
      </c>
      <c r="E874" s="1" t="s">
        <v>6501</v>
      </c>
      <c r="F874" s="1" t="s">
        <v>6502</v>
      </c>
      <c r="H874" s="1">
        <v>1</v>
      </c>
      <c r="I874" s="1">
        <v>2022</v>
      </c>
      <c r="J874" s="1">
        <v>15</v>
      </c>
      <c r="K874" s="1">
        <v>6</v>
      </c>
      <c r="O874" s="1" t="s">
        <v>6503</v>
      </c>
    </row>
    <row r="875" spans="1:16" ht="15.75" customHeight="1">
      <c r="A875" s="1" t="s">
        <v>10</v>
      </c>
      <c r="B875" s="1" t="s">
        <v>5499</v>
      </c>
      <c r="C875" s="1" t="s">
        <v>5500</v>
      </c>
      <c r="D875" s="1" t="s">
        <v>100</v>
      </c>
      <c r="E875" s="1" t="s">
        <v>5501</v>
      </c>
      <c r="F875" s="1" t="s">
        <v>5502</v>
      </c>
      <c r="H875" s="1">
        <v>1</v>
      </c>
      <c r="I875" s="1">
        <v>2022</v>
      </c>
      <c r="J875" s="1">
        <v>30</v>
      </c>
      <c r="K875" s="1">
        <v>5</v>
      </c>
      <c r="O875" s="1" t="s">
        <v>5503</v>
      </c>
    </row>
    <row r="876" spans="1:16" ht="15.75" customHeight="1">
      <c r="A876" s="1" t="s">
        <v>10</v>
      </c>
      <c r="B876" s="1" t="s">
        <v>4601</v>
      </c>
      <c r="C876" s="1" t="s">
        <v>4602</v>
      </c>
      <c r="D876" s="1" t="s">
        <v>270</v>
      </c>
      <c r="E876" s="1" t="s">
        <v>4603</v>
      </c>
      <c r="F876" s="1" t="s">
        <v>4604</v>
      </c>
      <c r="H876" s="1">
        <v>1</v>
      </c>
      <c r="I876" s="1">
        <v>2022</v>
      </c>
      <c r="J876" s="1">
        <v>29</v>
      </c>
      <c r="K876" s="1">
        <v>2</v>
      </c>
      <c r="O876" s="1" t="s">
        <v>4605</v>
      </c>
    </row>
    <row r="877" spans="1:16" ht="15.75" customHeight="1">
      <c r="A877" s="1" t="s">
        <v>10</v>
      </c>
      <c r="B877" s="1" t="s">
        <v>5591</v>
      </c>
      <c r="C877" s="1" t="s">
        <v>5592</v>
      </c>
      <c r="D877" s="1" t="s">
        <v>27</v>
      </c>
      <c r="E877" s="1" t="s">
        <v>5593</v>
      </c>
      <c r="F877" s="1" t="s">
        <v>5594</v>
      </c>
      <c r="H877" s="1">
        <v>1</v>
      </c>
      <c r="I877" s="1">
        <v>2022</v>
      </c>
      <c r="J877" s="1">
        <v>14</v>
      </c>
      <c r="K877" s="1">
        <v>1</v>
      </c>
      <c r="O877" s="1" t="s">
        <v>5595</v>
      </c>
    </row>
    <row r="878" spans="1:16" ht="15.75" customHeight="1">
      <c r="A878" s="1" t="s">
        <v>0</v>
      </c>
      <c r="B878" s="1" t="s">
        <v>1759</v>
      </c>
      <c r="C878" s="1" t="s">
        <v>1760</v>
      </c>
      <c r="D878" s="1" t="s">
        <v>1761</v>
      </c>
      <c r="E878" s="1" t="s">
        <v>1762</v>
      </c>
      <c r="F878" s="1" t="s">
        <v>1763</v>
      </c>
      <c r="G878" s="1">
        <v>95</v>
      </c>
      <c r="H878" s="1">
        <v>1</v>
      </c>
      <c r="I878" s="1">
        <v>2022</v>
      </c>
      <c r="J878" s="1">
        <v>13</v>
      </c>
      <c r="K878" s="1">
        <v>2</v>
      </c>
      <c r="L878" s="1">
        <v>355</v>
      </c>
      <c r="M878" s="1">
        <v>384</v>
      </c>
      <c r="N878" s="1" t="s">
        <v>6</v>
      </c>
      <c r="O878" s="1" t="s">
        <v>1764</v>
      </c>
      <c r="P878" s="3" t="str">
        <f>HYPERLINK("http://dx.doi.org/10.5209/geop.83407","http://dx.doi.org/10.5209/geop.83407")</f>
        <v>http://dx.doi.org/10.5209/geop.83407</v>
      </c>
    </row>
    <row r="879" spans="1:16" ht="15.75" customHeight="1">
      <c r="A879" s="1" t="s">
        <v>0</v>
      </c>
      <c r="B879" s="1" t="s">
        <v>6553</v>
      </c>
      <c r="C879" s="1" t="s">
        <v>6554</v>
      </c>
      <c r="D879" s="1" t="s">
        <v>803</v>
      </c>
      <c r="E879" s="1" t="s">
        <v>6555</v>
      </c>
      <c r="F879" s="1" t="s">
        <v>6556</v>
      </c>
      <c r="G879" s="1">
        <v>35</v>
      </c>
      <c r="H879" s="1">
        <v>1</v>
      </c>
      <c r="I879" s="1">
        <v>2022</v>
      </c>
      <c r="J879" s="1">
        <v>32</v>
      </c>
      <c r="K879" s="1">
        <v>2</v>
      </c>
      <c r="L879" s="1">
        <v>199</v>
      </c>
      <c r="M879" s="1">
        <v>212</v>
      </c>
      <c r="N879" s="1" t="s">
        <v>6</v>
      </c>
      <c r="O879" s="1" t="s">
        <v>6557</v>
      </c>
      <c r="P879" s="3" t="str">
        <f>HYPERLINK("http://dx.doi.org/10.15446/bitacora.v32n2.99215","http://dx.doi.org/10.15446/bitacora.v32n2.99215")</f>
        <v>http://dx.doi.org/10.15446/bitacora.v32n2.99215</v>
      </c>
    </row>
    <row r="880" spans="1:16" ht="15.75" customHeight="1">
      <c r="A880" s="1" t="s">
        <v>10</v>
      </c>
      <c r="B880" s="1" t="s">
        <v>1095</v>
      </c>
      <c r="C880" s="1" t="s">
        <v>1096</v>
      </c>
      <c r="D880" s="1" t="s">
        <v>1097</v>
      </c>
      <c r="E880" s="1" t="s">
        <v>1098</v>
      </c>
      <c r="F880" s="1" t="s">
        <v>1099</v>
      </c>
      <c r="H880" s="1">
        <v>1</v>
      </c>
      <c r="I880" s="1">
        <v>2022</v>
      </c>
      <c r="J880" s="1">
        <v>31</v>
      </c>
      <c r="K880" s="1">
        <v>1</v>
      </c>
      <c r="O880" s="1" t="s">
        <v>1100</v>
      </c>
    </row>
    <row r="881" spans="1:16" ht="15.75" customHeight="1">
      <c r="A881" s="1" t="s">
        <v>10</v>
      </c>
      <c r="B881" s="1" t="s">
        <v>3027</v>
      </c>
      <c r="C881" s="1" t="s">
        <v>3028</v>
      </c>
      <c r="D881" s="1" t="s">
        <v>3029</v>
      </c>
      <c r="E881" s="1" t="s">
        <v>3030</v>
      </c>
      <c r="F881" s="1" t="s">
        <v>3031</v>
      </c>
      <c r="H881" s="1">
        <v>1</v>
      </c>
      <c r="I881" s="1">
        <v>2022</v>
      </c>
      <c r="J881" s="1">
        <v>51</v>
      </c>
      <c r="O881" s="1" t="s">
        <v>3032</v>
      </c>
    </row>
    <row r="882" spans="1:16" ht="15.75" customHeight="1">
      <c r="A882" s="1" t="s">
        <v>10</v>
      </c>
      <c r="B882" s="1" t="s">
        <v>6717</v>
      </c>
      <c r="C882" s="1" t="s">
        <v>6718</v>
      </c>
      <c r="D882" s="2" t="s">
        <v>418</v>
      </c>
      <c r="E882" s="1" t="s">
        <v>6719</v>
      </c>
      <c r="F882" s="1" t="s">
        <v>6720</v>
      </c>
      <c r="H882" s="1">
        <v>1</v>
      </c>
      <c r="I882" s="1">
        <v>2022</v>
      </c>
      <c r="J882" s="1">
        <v>13</v>
      </c>
      <c r="O882" s="1" t="s">
        <v>6721</v>
      </c>
    </row>
    <row r="883" spans="1:16" ht="15.75" customHeight="1">
      <c r="A883" s="1" t="s">
        <v>10</v>
      </c>
      <c r="B883" s="1" t="s">
        <v>5186</v>
      </c>
      <c r="C883" s="1" t="s">
        <v>5187</v>
      </c>
      <c r="D883" s="1" t="s">
        <v>5188</v>
      </c>
      <c r="E883" s="1" t="s">
        <v>5189</v>
      </c>
      <c r="F883" s="1" t="s">
        <v>5190</v>
      </c>
      <c r="H883" s="1">
        <v>1</v>
      </c>
      <c r="I883" s="1">
        <v>2022</v>
      </c>
      <c r="J883" s="1">
        <v>22</v>
      </c>
      <c r="K883" s="1">
        <v>2</v>
      </c>
      <c r="O883" s="1" t="s">
        <v>5191</v>
      </c>
    </row>
    <row r="884" spans="1:16" ht="15.75" customHeight="1">
      <c r="A884" s="1" t="s">
        <v>10</v>
      </c>
      <c r="B884" s="1" t="s">
        <v>1878</v>
      </c>
      <c r="C884" s="1" t="s">
        <v>1879</v>
      </c>
      <c r="D884" s="1" t="s">
        <v>1880</v>
      </c>
      <c r="E884" s="1" t="s">
        <v>1881</v>
      </c>
      <c r="F884" s="1" t="s">
        <v>1882</v>
      </c>
      <c r="H884" s="1">
        <v>1</v>
      </c>
      <c r="I884" s="1">
        <v>2022</v>
      </c>
      <c r="J884" s="1">
        <v>30</v>
      </c>
      <c r="O884" s="1" t="s">
        <v>1883</v>
      </c>
    </row>
    <row r="885" spans="1:16" ht="15.75" customHeight="1">
      <c r="A885" s="1" t="s">
        <v>10</v>
      </c>
      <c r="B885" s="1" t="s">
        <v>4616</v>
      </c>
      <c r="C885" s="1" t="s">
        <v>4617</v>
      </c>
      <c r="D885" s="1" t="s">
        <v>1236</v>
      </c>
      <c r="E885" s="1" t="s">
        <v>4618</v>
      </c>
      <c r="F885" s="1" t="s">
        <v>4619</v>
      </c>
      <c r="H885" s="1">
        <v>1</v>
      </c>
      <c r="I885" s="1">
        <v>2022</v>
      </c>
      <c r="J885" s="1">
        <v>40</v>
      </c>
      <c r="K885" s="1">
        <v>3</v>
      </c>
      <c r="O885" s="1" t="s">
        <v>4620</v>
      </c>
    </row>
    <row r="886" spans="1:16" ht="15.75" customHeight="1">
      <c r="A886" s="1" t="s">
        <v>10</v>
      </c>
      <c r="B886" s="1" t="s">
        <v>1380</v>
      </c>
      <c r="C886" s="1" t="s">
        <v>1381</v>
      </c>
      <c r="D886" s="1" t="s">
        <v>1382</v>
      </c>
      <c r="E886" s="1" t="s">
        <v>1383</v>
      </c>
      <c r="F886" s="1" t="s">
        <v>1384</v>
      </c>
      <c r="H886" s="1">
        <v>1</v>
      </c>
      <c r="I886" s="1">
        <v>2022</v>
      </c>
      <c r="J886" s="1">
        <v>35</v>
      </c>
      <c r="K886" s="1">
        <v>1</v>
      </c>
      <c r="O886" s="1" t="s">
        <v>1385</v>
      </c>
    </row>
    <row r="887" spans="1:16" ht="15.75" customHeight="1">
      <c r="A887" s="1" t="s">
        <v>0</v>
      </c>
      <c r="B887" s="1" t="s">
        <v>1677</v>
      </c>
      <c r="C887" s="1" t="s">
        <v>1678</v>
      </c>
      <c r="D887" s="1" t="s">
        <v>1679</v>
      </c>
      <c r="E887" s="1" t="s">
        <v>1680</v>
      </c>
      <c r="F887" s="1" t="s">
        <v>1681</v>
      </c>
      <c r="G887" s="1">
        <v>8</v>
      </c>
      <c r="H887" s="1">
        <v>1</v>
      </c>
      <c r="I887" s="1">
        <v>2022</v>
      </c>
      <c r="J887" s="1">
        <v>10</v>
      </c>
      <c r="K887" s="1">
        <v>1</v>
      </c>
      <c r="L887" s="1">
        <v>1</v>
      </c>
      <c r="M887" s="1">
        <v>4</v>
      </c>
      <c r="N887" s="1" t="s">
        <v>6</v>
      </c>
      <c r="O887" s="1" t="s">
        <v>1682</v>
      </c>
      <c r="P887" s="3" t="str">
        <f>HYPERLINK("http://dx.doi.org/10.17645/si.v10i1.5240","http://dx.doi.org/10.17645/si.v10i1.5240")</f>
        <v>http://dx.doi.org/10.17645/si.v10i1.5240</v>
      </c>
    </row>
    <row r="888" spans="1:16" ht="15.75" customHeight="1">
      <c r="A888" s="1" t="s">
        <v>0</v>
      </c>
      <c r="B888" s="1" t="s">
        <v>3408</v>
      </c>
      <c r="C888" s="1" t="s">
        <v>3409</v>
      </c>
      <c r="D888" s="1" t="s">
        <v>1602</v>
      </c>
      <c r="E888" s="1" t="s">
        <v>3410</v>
      </c>
      <c r="F888" s="1" t="s">
        <v>3411</v>
      </c>
      <c r="G888" s="1">
        <v>50</v>
      </c>
      <c r="H888" s="1">
        <v>1</v>
      </c>
      <c r="I888" s="1">
        <v>2022</v>
      </c>
      <c r="J888" s="1">
        <v>15</v>
      </c>
      <c r="K888" s="1" t="s">
        <v>6</v>
      </c>
      <c r="L888" s="1" t="s">
        <v>6</v>
      </c>
      <c r="M888" s="1" t="s">
        <v>6</v>
      </c>
      <c r="N888" s="1" t="s">
        <v>6</v>
      </c>
      <c r="O888" s="1" t="s">
        <v>3412</v>
      </c>
      <c r="P888" s="3" t="str">
        <f>HYPERLINK("http://dx.doi.org/10.11144/Javeriana.m15.eefi","http://dx.doi.org/10.11144/Javeriana.m15.eefi")</f>
        <v>http://dx.doi.org/10.11144/Javeriana.m15.eefi</v>
      </c>
    </row>
    <row r="889" spans="1:16" ht="15.75" customHeight="1">
      <c r="A889" s="1" t="s">
        <v>10</v>
      </c>
      <c r="B889" s="1" t="s">
        <v>4018</v>
      </c>
      <c r="C889" s="1" t="s">
        <v>4019</v>
      </c>
      <c r="D889" s="1" t="s">
        <v>4020</v>
      </c>
      <c r="E889" s="1" t="s">
        <v>4021</v>
      </c>
      <c r="F889" s="1" t="s">
        <v>4022</v>
      </c>
      <c r="H889" s="1">
        <v>1</v>
      </c>
      <c r="I889" s="1">
        <v>2022</v>
      </c>
      <c r="J889" s="1">
        <v>82</v>
      </c>
      <c r="K889" s="1">
        <v>285</v>
      </c>
      <c r="O889" s="1" t="s">
        <v>4023</v>
      </c>
    </row>
    <row r="890" spans="1:16" ht="15.75" customHeight="1">
      <c r="A890" s="1" t="s">
        <v>0</v>
      </c>
      <c r="B890" s="1" t="s">
        <v>6752</v>
      </c>
      <c r="C890" s="1" t="s">
        <v>6753</v>
      </c>
      <c r="D890" s="1" t="s">
        <v>6754</v>
      </c>
      <c r="E890" s="1" t="s">
        <v>6755</v>
      </c>
      <c r="F890" s="1" t="s">
        <v>6756</v>
      </c>
      <c r="G890" s="1">
        <v>71</v>
      </c>
      <c r="H890" s="1">
        <v>1</v>
      </c>
      <c r="I890" s="1">
        <v>2022</v>
      </c>
      <c r="J890" s="1">
        <v>20</v>
      </c>
      <c r="K890" s="1">
        <v>8</v>
      </c>
      <c r="L890" s="1">
        <v>893</v>
      </c>
      <c r="M890" s="1">
        <v>906</v>
      </c>
      <c r="N890" s="1" t="s">
        <v>6</v>
      </c>
      <c r="O890" s="1" t="s">
        <v>6757</v>
      </c>
      <c r="P890" s="3" t="str">
        <f>HYPERLINK("http://dx.doi.org/10.1177/14782103211066665","http://dx.doi.org/10.1177/14782103211066665")</f>
        <v>http://dx.doi.org/10.1177/14782103211066665</v>
      </c>
    </row>
    <row r="891" spans="1:16" ht="15.75" customHeight="1">
      <c r="A891" s="1" t="s">
        <v>10</v>
      </c>
      <c r="B891" s="1" t="s">
        <v>3191</v>
      </c>
      <c r="C891" s="1" t="s">
        <v>3192</v>
      </c>
      <c r="D891" s="1" t="s">
        <v>3018</v>
      </c>
      <c r="E891" s="1" t="s">
        <v>3193</v>
      </c>
      <c r="F891" s="1" t="s">
        <v>3194</v>
      </c>
      <c r="H891" s="1">
        <v>1</v>
      </c>
      <c r="I891" s="1">
        <v>2022</v>
      </c>
      <c r="J891" s="1">
        <v>92</v>
      </c>
      <c r="O891" s="1" t="s">
        <v>3195</v>
      </c>
    </row>
    <row r="892" spans="1:16" ht="15.75" customHeight="1">
      <c r="A892" s="1" t="s">
        <v>10</v>
      </c>
      <c r="B892" s="1" t="s">
        <v>3903</v>
      </c>
      <c r="C892" s="1" t="s">
        <v>3904</v>
      </c>
      <c r="D892" s="1" t="s">
        <v>3905</v>
      </c>
      <c r="E892" s="1" t="s">
        <v>3906</v>
      </c>
      <c r="F892" s="1" t="s">
        <v>3907</v>
      </c>
      <c r="H892" s="1">
        <v>1</v>
      </c>
      <c r="I892" s="1">
        <v>2022</v>
      </c>
      <c r="J892" s="1">
        <v>5</v>
      </c>
      <c r="K892" s="1">
        <v>1</v>
      </c>
      <c r="O892" s="1" t="s">
        <v>3908</v>
      </c>
    </row>
    <row r="893" spans="1:16" ht="15.75" customHeight="1">
      <c r="A893" s="1" t="s">
        <v>10</v>
      </c>
      <c r="B893" s="1" t="s">
        <v>2185</v>
      </c>
      <c r="C893" s="1" t="s">
        <v>2186</v>
      </c>
      <c r="D893" s="1" t="s">
        <v>1517</v>
      </c>
      <c r="E893" s="1" t="s">
        <v>2187</v>
      </c>
      <c r="F893" s="1" t="s">
        <v>2188</v>
      </c>
      <c r="H893" s="1">
        <v>1</v>
      </c>
      <c r="I893" s="1">
        <v>2022</v>
      </c>
      <c r="J893" s="1">
        <v>60</v>
      </c>
      <c r="K893" s="1">
        <v>2</v>
      </c>
      <c r="O893" s="1" t="s">
        <v>2189</v>
      </c>
    </row>
    <row r="894" spans="1:16" ht="15.75" customHeight="1">
      <c r="A894" s="1" t="s">
        <v>10</v>
      </c>
      <c r="B894" s="1" t="s">
        <v>4335</v>
      </c>
      <c r="C894" s="1" t="s">
        <v>4336</v>
      </c>
      <c r="D894" s="1" t="s">
        <v>4337</v>
      </c>
      <c r="E894" s="1" t="s">
        <v>4338</v>
      </c>
      <c r="F894" s="1" t="s">
        <v>4339</v>
      </c>
      <c r="H894" s="1">
        <v>1</v>
      </c>
      <c r="I894" s="1">
        <v>2022</v>
      </c>
      <c r="J894" s="1">
        <v>101</v>
      </c>
      <c r="K894" s="1">
        <v>1</v>
      </c>
      <c r="O894" s="1" t="s">
        <v>4340</v>
      </c>
    </row>
    <row r="895" spans="1:16" ht="15.75" customHeight="1">
      <c r="A895" s="1" t="s">
        <v>10</v>
      </c>
      <c r="B895" s="1" t="s">
        <v>548</v>
      </c>
      <c r="C895" s="1" t="s">
        <v>549</v>
      </c>
      <c r="D895" s="1" t="s">
        <v>550</v>
      </c>
      <c r="E895" s="1" t="s">
        <v>551</v>
      </c>
      <c r="F895" s="1" t="s">
        <v>552</v>
      </c>
      <c r="H895" s="1">
        <v>1</v>
      </c>
      <c r="I895" s="1">
        <v>2022</v>
      </c>
      <c r="J895" s="1">
        <v>15</v>
      </c>
      <c r="O895" s="1" t="s">
        <v>553</v>
      </c>
    </row>
    <row r="896" spans="1:16" ht="15.75" customHeight="1">
      <c r="A896" s="1" t="s">
        <v>0</v>
      </c>
      <c r="B896" s="1" t="s">
        <v>2114</v>
      </c>
      <c r="C896" s="1" t="s">
        <v>2115</v>
      </c>
      <c r="D896" s="1" t="s">
        <v>2116</v>
      </c>
      <c r="E896" s="1" t="s">
        <v>2117</v>
      </c>
      <c r="F896" s="1" t="s">
        <v>2118</v>
      </c>
      <c r="G896" s="1">
        <v>122</v>
      </c>
      <c r="H896" s="1">
        <v>1</v>
      </c>
      <c r="I896" s="1">
        <v>2022</v>
      </c>
      <c r="J896" s="1">
        <v>12</v>
      </c>
      <c r="K896" s="1">
        <v>2</v>
      </c>
      <c r="L896" s="1">
        <v>287</v>
      </c>
      <c r="M896" s="1">
        <v>327</v>
      </c>
      <c r="N896" s="1" t="s">
        <v>6</v>
      </c>
      <c r="O896" s="1" t="s">
        <v>2119</v>
      </c>
      <c r="P896" s="3" t="str">
        <f>HYPERLINK("http://dx.doi.org/10.35295/OSLS.IISL/0000-0000-0000-1227","http://dx.doi.org/10.35295/OSLS.IISL/0000-0000-0000-1227")</f>
        <v>http://dx.doi.org/10.35295/OSLS.IISL/0000-0000-0000-1227</v>
      </c>
    </row>
    <row r="897" spans="1:16" ht="15.75" customHeight="1">
      <c r="A897" s="1" t="s">
        <v>0</v>
      </c>
      <c r="B897" s="1" t="s">
        <v>4145</v>
      </c>
      <c r="C897" s="1" t="s">
        <v>4146</v>
      </c>
      <c r="D897" s="1" t="s">
        <v>1467</v>
      </c>
      <c r="E897" s="1" t="s">
        <v>4147</v>
      </c>
      <c r="F897" s="1" t="s">
        <v>4148</v>
      </c>
      <c r="G897" s="1">
        <v>54</v>
      </c>
      <c r="H897" s="1">
        <v>1</v>
      </c>
      <c r="I897" s="1">
        <v>2022</v>
      </c>
      <c r="J897" s="1">
        <v>26</v>
      </c>
      <c r="K897" s="1">
        <v>3</v>
      </c>
      <c r="L897" s="1">
        <v>530</v>
      </c>
      <c r="M897" s="1">
        <v>540</v>
      </c>
      <c r="N897" s="1" t="s">
        <v>6</v>
      </c>
      <c r="O897" s="1" t="s">
        <v>4149</v>
      </c>
      <c r="P897" s="3" t="str">
        <f>HYPERLINK("http://dx.doi.org/10.4013/hist.2022.263.11","http://dx.doi.org/10.4013/hist.2022.263.11")</f>
        <v>http://dx.doi.org/10.4013/hist.2022.263.11</v>
      </c>
    </row>
    <row r="898" spans="1:16" ht="15.75" customHeight="1">
      <c r="A898" s="1" t="s">
        <v>10</v>
      </c>
      <c r="B898" s="1" t="s">
        <v>5848</v>
      </c>
      <c r="C898" s="1" t="s">
        <v>5849</v>
      </c>
      <c r="D898" s="1" t="s">
        <v>848</v>
      </c>
      <c r="E898" s="1" t="s">
        <v>5850</v>
      </c>
      <c r="F898" s="1" t="s">
        <v>5851</v>
      </c>
      <c r="H898" s="1">
        <v>1</v>
      </c>
      <c r="I898" s="1">
        <v>2022</v>
      </c>
      <c r="J898" s="1">
        <v>126</v>
      </c>
      <c r="O898" s="1" t="s">
        <v>5852</v>
      </c>
    </row>
    <row r="899" spans="1:16" ht="15.75" customHeight="1">
      <c r="A899" s="1" t="s">
        <v>0</v>
      </c>
      <c r="B899" s="1" t="s">
        <v>5700</v>
      </c>
      <c r="C899" s="1" t="s">
        <v>5701</v>
      </c>
      <c r="D899" s="1" t="s">
        <v>2910</v>
      </c>
      <c r="E899" s="1" t="s">
        <v>5702</v>
      </c>
      <c r="F899" s="1" t="s">
        <v>5703</v>
      </c>
      <c r="G899" s="1">
        <v>40</v>
      </c>
      <c r="H899" s="1">
        <v>1</v>
      </c>
      <c r="I899" s="1">
        <v>2022</v>
      </c>
      <c r="J899" s="1">
        <v>23</v>
      </c>
      <c r="K899" s="1" t="s">
        <v>6</v>
      </c>
      <c r="L899" s="1" t="s">
        <v>6</v>
      </c>
      <c r="M899" s="1" t="s">
        <v>6</v>
      </c>
      <c r="N899" s="1" t="s">
        <v>5704</v>
      </c>
      <c r="O899" s="1" t="s">
        <v>5705</v>
      </c>
      <c r="P899" s="3" t="str">
        <f>HYPERLINK("http://dx.doi.org/10.21670/ref.2201085","http://dx.doi.org/10.21670/ref.2201085")</f>
        <v>http://dx.doi.org/10.21670/ref.2201085</v>
      </c>
    </row>
    <row r="900" spans="1:16" ht="15.75" customHeight="1">
      <c r="A900" s="1" t="s">
        <v>10</v>
      </c>
      <c r="B900" s="1" t="s">
        <v>1228</v>
      </c>
      <c r="C900" s="1" t="s">
        <v>1229</v>
      </c>
      <c r="D900" s="1" t="s">
        <v>1230</v>
      </c>
      <c r="E900" s="1" t="s">
        <v>1231</v>
      </c>
      <c r="F900" s="1" t="s">
        <v>1232</v>
      </c>
      <c r="H900" s="1">
        <v>1</v>
      </c>
      <c r="I900" s="1">
        <v>2022</v>
      </c>
      <c r="J900" s="1">
        <v>97</v>
      </c>
      <c r="O900" s="1" t="s">
        <v>1233</v>
      </c>
    </row>
    <row r="901" spans="1:16" ht="15.75" customHeight="1">
      <c r="A901" s="1" t="s">
        <v>0</v>
      </c>
      <c r="B901" s="1" t="s">
        <v>2126</v>
      </c>
      <c r="C901" s="1" t="s">
        <v>2127</v>
      </c>
      <c r="D901" s="1" t="s">
        <v>2128</v>
      </c>
      <c r="E901" s="1" t="s">
        <v>2129</v>
      </c>
      <c r="F901" s="1" t="s">
        <v>2130</v>
      </c>
      <c r="G901" s="1">
        <v>98</v>
      </c>
      <c r="H901" s="1">
        <v>1</v>
      </c>
      <c r="I901" s="1">
        <v>2022</v>
      </c>
      <c r="J901" s="1">
        <v>49</v>
      </c>
      <c r="K901" s="1">
        <v>2</v>
      </c>
      <c r="L901" s="1">
        <v>43</v>
      </c>
      <c r="M901" s="1">
        <v>70</v>
      </c>
      <c r="N901" s="1" t="s">
        <v>6</v>
      </c>
      <c r="O901" s="1" t="s">
        <v>2131</v>
      </c>
      <c r="P901" s="3" t="str">
        <f>HYPERLINK("http://dx.doi.org/10.7764/R.492.3","http://dx.doi.org/10.7764/R.492.3")</f>
        <v>http://dx.doi.org/10.7764/R.492.3</v>
      </c>
    </row>
    <row r="902" spans="1:16" ht="15.75" customHeight="1">
      <c r="A902" s="1" t="s">
        <v>10</v>
      </c>
      <c r="B902" s="1" t="s">
        <v>7042</v>
      </c>
      <c r="C902" s="1" t="s">
        <v>7043</v>
      </c>
      <c r="D902" s="1" t="s">
        <v>7044</v>
      </c>
      <c r="E902" s="1" t="s">
        <v>7045</v>
      </c>
      <c r="F902" s="1" t="s">
        <v>7046</v>
      </c>
      <c r="H902" s="1">
        <v>1</v>
      </c>
      <c r="I902" s="1">
        <v>2022</v>
      </c>
      <c r="J902" s="1">
        <v>28</v>
      </c>
      <c r="K902" s="1">
        <v>1</v>
      </c>
      <c r="O902" s="1" t="s">
        <v>7047</v>
      </c>
    </row>
    <row r="903" spans="1:16" ht="15.75" customHeight="1">
      <c r="A903" s="1" t="s">
        <v>0</v>
      </c>
      <c r="B903" s="1" t="s">
        <v>5147</v>
      </c>
      <c r="C903" s="1" t="s">
        <v>5148</v>
      </c>
      <c r="D903" s="1" t="s">
        <v>201</v>
      </c>
      <c r="E903" s="1" t="s">
        <v>5149</v>
      </c>
      <c r="F903" s="1" t="s">
        <v>5150</v>
      </c>
      <c r="G903" s="1">
        <v>91</v>
      </c>
      <c r="H903" s="1">
        <v>1</v>
      </c>
      <c r="I903" s="1">
        <v>2022</v>
      </c>
      <c r="J903" s="1" t="s">
        <v>6</v>
      </c>
      <c r="K903" s="1">
        <v>68</v>
      </c>
      <c r="L903" s="1" t="s">
        <v>6</v>
      </c>
      <c r="M903" s="1" t="s">
        <v>6</v>
      </c>
      <c r="N903" s="1" t="s">
        <v>5151</v>
      </c>
      <c r="O903" s="1" t="s">
        <v>5152</v>
      </c>
      <c r="P903" s="3" t="str">
        <f>HYPERLINK("http://dx.doi.org/10.22199/issn.0718-1043-2022-0020","http://dx.doi.org/10.22199/issn.0718-1043-2022-0020")</f>
        <v>http://dx.doi.org/10.22199/issn.0718-1043-2022-0020</v>
      </c>
    </row>
    <row r="904" spans="1:16" ht="15.75" customHeight="1">
      <c r="A904" s="1" t="s">
        <v>0</v>
      </c>
      <c r="B904" s="1" t="s">
        <v>1483</v>
      </c>
      <c r="C904" s="1" t="s">
        <v>1484</v>
      </c>
      <c r="D904" s="1" t="s">
        <v>1428</v>
      </c>
      <c r="E904" s="1" t="s">
        <v>1485</v>
      </c>
      <c r="F904" s="1" t="s">
        <v>1486</v>
      </c>
      <c r="G904" s="1">
        <v>48</v>
      </c>
      <c r="H904" s="1">
        <v>1</v>
      </c>
      <c r="I904" s="1">
        <v>2022</v>
      </c>
      <c r="J904" s="1" t="s">
        <v>6</v>
      </c>
      <c r="K904" s="1">
        <v>89</v>
      </c>
      <c r="L904" s="1">
        <v>9</v>
      </c>
      <c r="M904" s="1">
        <v>36</v>
      </c>
      <c r="N904" s="1" t="s">
        <v>6</v>
      </c>
      <c r="O904" s="1" t="s">
        <v>1487</v>
      </c>
      <c r="P904" s="3" t="str">
        <f>HYPERLINK("http://dx.doi.org/10.18800/derechopucp.202202.001","http://dx.doi.org/10.18800/derechopucp.202202.001")</f>
        <v>http://dx.doi.org/10.18800/derechopucp.202202.001</v>
      </c>
    </row>
    <row r="905" spans="1:16" ht="15.75" customHeight="1">
      <c r="A905" s="1" t="s">
        <v>0</v>
      </c>
      <c r="B905" s="1" t="s">
        <v>1600</v>
      </c>
      <c r="C905" s="1" t="s">
        <v>1601</v>
      </c>
      <c r="D905" s="1" t="s">
        <v>1602</v>
      </c>
      <c r="E905" s="1" t="s">
        <v>1603</v>
      </c>
      <c r="F905" s="1" t="s">
        <v>1604</v>
      </c>
      <c r="G905" s="1">
        <v>58</v>
      </c>
      <c r="H905" s="1">
        <v>1</v>
      </c>
      <c r="I905" s="1">
        <v>2022</v>
      </c>
      <c r="J905" s="1">
        <v>15</v>
      </c>
      <c r="K905" s="1" t="s">
        <v>6</v>
      </c>
      <c r="L905" s="1">
        <v>26</v>
      </c>
      <c r="M905" s="1">
        <v>31</v>
      </c>
      <c r="N905" s="1" t="s">
        <v>6</v>
      </c>
      <c r="O905" s="1" t="s">
        <v>1605</v>
      </c>
      <c r="P905" s="3" t="str">
        <f>HYPERLINK("http://dx.doi.org/10.11144/Javeriana.m15.seem","http://dx.doi.org/10.11144/Javeriana.m15.seem")</f>
        <v>http://dx.doi.org/10.11144/Javeriana.m15.seem</v>
      </c>
    </row>
    <row r="906" spans="1:16" ht="15.75" customHeight="1">
      <c r="A906" s="1" t="s">
        <v>0</v>
      </c>
      <c r="B906" s="1" t="s">
        <v>779</v>
      </c>
      <c r="C906" s="1" t="s">
        <v>780</v>
      </c>
      <c r="D906" s="1" t="s">
        <v>781</v>
      </c>
      <c r="E906" s="1" t="s">
        <v>782</v>
      </c>
      <c r="F906" s="1" t="s">
        <v>783</v>
      </c>
      <c r="G906" s="1">
        <v>49</v>
      </c>
      <c r="H906" s="1">
        <v>1</v>
      </c>
      <c r="I906" s="1">
        <v>2022</v>
      </c>
      <c r="J906" s="1" t="s">
        <v>6</v>
      </c>
      <c r="K906" s="1">
        <v>29</v>
      </c>
      <c r="L906" s="1">
        <v>88</v>
      </c>
      <c r="M906" s="1">
        <v>106</v>
      </c>
      <c r="N906" s="1" t="s">
        <v>6</v>
      </c>
      <c r="O906" s="1" t="s">
        <v>6</v>
      </c>
      <c r="P906" s="1" t="s">
        <v>6</v>
      </c>
    </row>
    <row r="907" spans="1:16" ht="15.75" customHeight="1">
      <c r="A907" s="1" t="s">
        <v>0</v>
      </c>
      <c r="B907" s="1" t="s">
        <v>5612</v>
      </c>
      <c r="C907" s="1" t="s">
        <v>5613</v>
      </c>
      <c r="D907" s="1" t="s">
        <v>1933</v>
      </c>
      <c r="E907" s="1" t="s">
        <v>5614</v>
      </c>
      <c r="F907" s="1" t="s">
        <v>5615</v>
      </c>
      <c r="G907" s="1">
        <v>49</v>
      </c>
      <c r="H907" s="1">
        <v>1</v>
      </c>
      <c r="I907" s="1">
        <v>2022</v>
      </c>
      <c r="J907" s="1">
        <v>48</v>
      </c>
      <c r="K907" s="1">
        <v>143</v>
      </c>
      <c r="L907" s="1" t="s">
        <v>6</v>
      </c>
      <c r="M907" s="1" t="s">
        <v>6</v>
      </c>
      <c r="N907" s="1" t="s">
        <v>6</v>
      </c>
      <c r="O907" s="1" t="s">
        <v>5616</v>
      </c>
      <c r="P907" s="3" t="str">
        <f>HYPERLINK("http://dx.doi.org/10.7764/eure.48.143.03","http://dx.doi.org/10.7764/eure.48.143.03")</f>
        <v>http://dx.doi.org/10.7764/eure.48.143.03</v>
      </c>
    </row>
    <row r="908" spans="1:16" ht="15.75" customHeight="1">
      <c r="A908" s="1" t="s">
        <v>0</v>
      </c>
      <c r="B908" s="1" t="s">
        <v>6254</v>
      </c>
      <c r="C908" s="1" t="s">
        <v>6255</v>
      </c>
      <c r="D908" s="1" t="s">
        <v>58</v>
      </c>
      <c r="E908" s="1" t="s">
        <v>6256</v>
      </c>
      <c r="F908" s="1" t="s">
        <v>6257</v>
      </c>
      <c r="G908" s="1">
        <v>74</v>
      </c>
      <c r="H908" s="1">
        <v>1</v>
      </c>
      <c r="I908" s="1">
        <v>2022</v>
      </c>
      <c r="J908" s="1">
        <v>22</v>
      </c>
      <c r="K908" s="1">
        <v>2</v>
      </c>
      <c r="L908" s="1">
        <v>107</v>
      </c>
      <c r="M908" s="1">
        <v>129</v>
      </c>
      <c r="N908" s="1" t="s">
        <v>6</v>
      </c>
      <c r="O908" s="1" t="s">
        <v>6</v>
      </c>
      <c r="P908" s="1" t="s">
        <v>6</v>
      </c>
    </row>
    <row r="909" spans="1:16" ht="15.75" customHeight="1">
      <c r="A909" s="1" t="s">
        <v>0</v>
      </c>
      <c r="B909" s="1" t="s">
        <v>2523</v>
      </c>
      <c r="C909" s="2" t="s">
        <v>2524</v>
      </c>
      <c r="D909" s="1" t="s">
        <v>58</v>
      </c>
      <c r="E909" s="1" t="s">
        <v>2525</v>
      </c>
      <c r="F909" s="1" t="s">
        <v>2526</v>
      </c>
      <c r="G909" s="1">
        <v>74</v>
      </c>
      <c r="H909" s="1">
        <v>1</v>
      </c>
      <c r="I909" s="1">
        <v>2022</v>
      </c>
      <c r="J909" s="1">
        <v>22</v>
      </c>
      <c r="K909" s="1">
        <v>2</v>
      </c>
      <c r="L909" s="1">
        <v>130</v>
      </c>
      <c r="M909" s="1">
        <v>152</v>
      </c>
      <c r="N909" s="1" t="s">
        <v>6</v>
      </c>
      <c r="O909" s="1" t="s">
        <v>6</v>
      </c>
      <c r="P909" s="1" t="s">
        <v>6</v>
      </c>
    </row>
    <row r="910" spans="1:16" ht="15.75" customHeight="1">
      <c r="A910" s="1" t="s">
        <v>0</v>
      </c>
      <c r="B910" s="1" t="s">
        <v>4259</v>
      </c>
      <c r="C910" s="1" t="s">
        <v>4260</v>
      </c>
      <c r="D910" s="2" t="s">
        <v>418</v>
      </c>
      <c r="E910" s="1" t="s">
        <v>7102</v>
      </c>
      <c r="F910" s="1" t="s">
        <v>4261</v>
      </c>
      <c r="G910" s="1">
        <v>34</v>
      </c>
      <c r="H910" s="1">
        <v>0</v>
      </c>
      <c r="I910" s="1">
        <v>2022</v>
      </c>
      <c r="J910" s="1">
        <v>13</v>
      </c>
      <c r="O910" s="1" t="s">
        <v>4262</v>
      </c>
    </row>
    <row r="911" spans="1:16" ht="15.75" customHeight="1">
      <c r="A911" s="1" t="s">
        <v>0</v>
      </c>
      <c r="B911" s="1" t="s">
        <v>5158</v>
      </c>
      <c r="C911" s="1" t="s">
        <v>5159</v>
      </c>
      <c r="D911" s="2" t="s">
        <v>418</v>
      </c>
      <c r="E911" s="1" t="s">
        <v>7105</v>
      </c>
      <c r="F911" s="1" t="s">
        <v>5160</v>
      </c>
      <c r="G911" s="1">
        <v>72</v>
      </c>
      <c r="H911" s="1">
        <v>0</v>
      </c>
      <c r="I911" s="1">
        <v>2022</v>
      </c>
      <c r="J911" s="1">
        <v>13</v>
      </c>
      <c r="O911" s="1" t="s">
        <v>5161</v>
      </c>
    </row>
    <row r="912" spans="1:16" ht="15.75" customHeight="1">
      <c r="A912" s="1" t="s">
        <v>10</v>
      </c>
      <c r="B912" s="1" t="s">
        <v>1414</v>
      </c>
      <c r="C912" s="1" t="s">
        <v>1415</v>
      </c>
      <c r="D912" s="1" t="s">
        <v>1416</v>
      </c>
      <c r="E912" s="1" t="s">
        <v>1417</v>
      </c>
      <c r="F912" s="1" t="s">
        <v>1418</v>
      </c>
      <c r="H912" s="1">
        <v>0</v>
      </c>
      <c r="I912" s="1">
        <v>2022</v>
      </c>
      <c r="J912" s="1">
        <v>2022</v>
      </c>
      <c r="K912" s="1">
        <v>12</v>
      </c>
      <c r="O912" s="1" t="s">
        <v>1419</v>
      </c>
    </row>
    <row r="913" spans="1:16" ht="15.75" customHeight="1">
      <c r="A913" s="1" t="s">
        <v>0</v>
      </c>
      <c r="B913" s="1" t="s">
        <v>2002</v>
      </c>
      <c r="C913" s="1" t="s">
        <v>2003</v>
      </c>
      <c r="D913" s="1" t="s">
        <v>2004</v>
      </c>
      <c r="E913" s="1" t="s">
        <v>2005</v>
      </c>
      <c r="F913" s="1" t="s">
        <v>2006</v>
      </c>
      <c r="G913" s="1">
        <v>67</v>
      </c>
      <c r="H913" s="1">
        <v>0</v>
      </c>
      <c r="I913" s="1">
        <v>2022</v>
      </c>
      <c r="J913" s="1">
        <v>46</v>
      </c>
      <c r="K913" s="1">
        <v>2</v>
      </c>
      <c r="L913" s="1">
        <v>265</v>
      </c>
      <c r="M913" s="1">
        <v>282</v>
      </c>
      <c r="N913" s="1" t="s">
        <v>2007</v>
      </c>
      <c r="O913" s="1" t="s">
        <v>2008</v>
      </c>
      <c r="P913" s="3" t="str">
        <f>HYPERLINK("http://dx.doi.org/10.1017/S0165115322000109","http://dx.doi.org/10.1017/S0165115322000109")</f>
        <v>http://dx.doi.org/10.1017/S0165115322000109</v>
      </c>
    </row>
    <row r="914" spans="1:16" ht="15.75" customHeight="1">
      <c r="A914" s="1" t="s">
        <v>0</v>
      </c>
      <c r="B914" s="1" t="s">
        <v>1488</v>
      </c>
      <c r="C914" s="1" t="s">
        <v>1489</v>
      </c>
      <c r="D914" s="1" t="s">
        <v>148</v>
      </c>
      <c r="E914" s="1" t="s">
        <v>1490</v>
      </c>
      <c r="F914" s="1" t="s">
        <v>1491</v>
      </c>
      <c r="G914" s="1">
        <v>162</v>
      </c>
      <c r="H914" s="1">
        <v>0</v>
      </c>
      <c r="I914" s="1">
        <v>2022</v>
      </c>
      <c r="J914" s="1">
        <v>30</v>
      </c>
      <c r="K914" s="1" t="s">
        <v>6</v>
      </c>
      <c r="L914" s="1" t="s">
        <v>6</v>
      </c>
      <c r="M914" s="1" t="s">
        <v>6</v>
      </c>
      <c r="N914" s="1" t="s">
        <v>6</v>
      </c>
      <c r="O914" s="1" t="s">
        <v>1492</v>
      </c>
      <c r="P914" s="3" t="str">
        <f>HYPERLINK("http://dx.doi.org/10.14507/epaa.30.6337","http://dx.doi.org/10.14507/epaa.30.6337")</f>
        <v>http://dx.doi.org/10.14507/epaa.30.6337</v>
      </c>
    </row>
    <row r="915" spans="1:16" ht="15.75" customHeight="1">
      <c r="A915" s="1" t="s">
        <v>31</v>
      </c>
      <c r="B915" s="1" t="s">
        <v>6830</v>
      </c>
      <c r="C915" s="1" t="s">
        <v>6831</v>
      </c>
      <c r="D915" s="1" t="s">
        <v>6832</v>
      </c>
      <c r="E915" s="1" t="s">
        <v>6833</v>
      </c>
      <c r="F915" s="1" t="s">
        <v>6834</v>
      </c>
      <c r="H915" s="1">
        <v>0</v>
      </c>
      <c r="I915" s="1">
        <v>2022</v>
      </c>
      <c r="O915" s="1" t="s">
        <v>6835</v>
      </c>
    </row>
    <row r="916" spans="1:16" ht="15.75" customHeight="1">
      <c r="A916" s="1" t="s">
        <v>0</v>
      </c>
      <c r="B916" s="1" t="s">
        <v>4461</v>
      </c>
      <c r="C916" s="1" t="s">
        <v>4462</v>
      </c>
      <c r="D916" s="1" t="s">
        <v>1428</v>
      </c>
      <c r="E916" s="1" t="s">
        <v>4463</v>
      </c>
      <c r="F916" s="1" t="s">
        <v>4464</v>
      </c>
      <c r="G916" s="1">
        <v>62</v>
      </c>
      <c r="H916" s="1">
        <v>0</v>
      </c>
      <c r="I916" s="1">
        <v>2022</v>
      </c>
      <c r="J916" s="1" t="s">
        <v>6</v>
      </c>
      <c r="K916" s="1">
        <v>89</v>
      </c>
      <c r="L916" s="1">
        <v>205</v>
      </c>
      <c r="M916" s="1">
        <v>228</v>
      </c>
      <c r="N916" s="1" t="s">
        <v>6</v>
      </c>
      <c r="O916" s="1" t="s">
        <v>4465</v>
      </c>
      <c r="P916" s="3" t="str">
        <f>HYPERLINK("http://dx.doi.org/10.18800/derechopucp.202202.007","http://dx.doi.org/10.18800/derechopucp.202202.007")</f>
        <v>http://dx.doi.org/10.18800/derechopucp.202202.007</v>
      </c>
    </row>
    <row r="917" spans="1:16" ht="15.75" customHeight="1">
      <c r="A917" s="1" t="s">
        <v>10</v>
      </c>
      <c r="B917" s="1" t="s">
        <v>5362</v>
      </c>
      <c r="C917" s="1" t="s">
        <v>5363</v>
      </c>
      <c r="D917" s="1" t="s">
        <v>550</v>
      </c>
      <c r="E917" s="1" t="s">
        <v>5364</v>
      </c>
      <c r="F917" s="1" t="s">
        <v>5365</v>
      </c>
      <c r="H917" s="1">
        <v>0</v>
      </c>
      <c r="I917" s="1">
        <v>2022</v>
      </c>
      <c r="J917" s="1">
        <v>15</v>
      </c>
      <c r="O917" s="1" t="s">
        <v>5366</v>
      </c>
    </row>
    <row r="918" spans="1:16" ht="15.75" customHeight="1">
      <c r="A918" s="1" t="s">
        <v>0</v>
      </c>
      <c r="B918" s="1" t="s">
        <v>5352</v>
      </c>
      <c r="C918" s="1" t="s">
        <v>5353</v>
      </c>
      <c r="D918" s="1" t="s">
        <v>58</v>
      </c>
      <c r="E918" s="1" t="s">
        <v>5354</v>
      </c>
      <c r="F918" s="1" t="s">
        <v>5355</v>
      </c>
      <c r="G918" s="1">
        <v>17</v>
      </c>
      <c r="H918" s="1">
        <v>0</v>
      </c>
      <c r="I918" s="1">
        <v>2022</v>
      </c>
      <c r="J918" s="1">
        <v>22</v>
      </c>
      <c r="K918" s="1">
        <v>1</v>
      </c>
      <c r="L918" s="1">
        <v>193</v>
      </c>
      <c r="M918" s="1">
        <v>205</v>
      </c>
      <c r="N918" s="1" t="s">
        <v>6</v>
      </c>
      <c r="O918" s="1" t="s">
        <v>6</v>
      </c>
      <c r="P918" s="1" t="s">
        <v>6</v>
      </c>
    </row>
    <row r="919" spans="1:16" ht="15.75" customHeight="1">
      <c r="A919" s="1" t="s">
        <v>0</v>
      </c>
      <c r="B919" s="1" t="s">
        <v>346</v>
      </c>
      <c r="C919" s="1" t="s">
        <v>347</v>
      </c>
      <c r="D919" s="1" t="s">
        <v>348</v>
      </c>
      <c r="E919" s="1" t="s">
        <v>349</v>
      </c>
      <c r="F919" s="1" t="s">
        <v>350</v>
      </c>
      <c r="G919" s="1">
        <v>11</v>
      </c>
      <c r="H919" s="1">
        <v>0</v>
      </c>
      <c r="I919" s="1">
        <v>2022</v>
      </c>
      <c r="J919" s="1">
        <v>20</v>
      </c>
      <c r="K919" s="1" t="s">
        <v>6</v>
      </c>
      <c r="L919" s="1">
        <v>40</v>
      </c>
      <c r="M919" s="1">
        <v>51</v>
      </c>
      <c r="N919" s="1" t="s">
        <v>6</v>
      </c>
      <c r="O919" s="1" t="s">
        <v>6</v>
      </c>
      <c r="P919" s="1" t="s">
        <v>6</v>
      </c>
    </row>
    <row r="920" spans="1:16" ht="15.75" customHeight="1">
      <c r="A920" s="1" t="s">
        <v>0</v>
      </c>
      <c r="B920" s="1" t="s">
        <v>3981</v>
      </c>
      <c r="C920" s="1" t="s">
        <v>3982</v>
      </c>
      <c r="D920" s="1" t="s">
        <v>3983</v>
      </c>
      <c r="E920" s="1" t="s">
        <v>3984</v>
      </c>
      <c r="F920" s="1" t="s">
        <v>3985</v>
      </c>
      <c r="G920" s="1">
        <v>33</v>
      </c>
      <c r="H920" s="1">
        <v>0</v>
      </c>
      <c r="I920" s="1">
        <v>2022</v>
      </c>
      <c r="J920" s="1">
        <v>42</v>
      </c>
      <c r="K920" s="1">
        <v>2</v>
      </c>
      <c r="L920" s="1">
        <v>363</v>
      </c>
      <c r="M920" s="1">
        <v>389</v>
      </c>
      <c r="N920" s="1" t="s">
        <v>6</v>
      </c>
      <c r="O920" s="1" t="s">
        <v>3986</v>
      </c>
      <c r="P920" s="3" t="str">
        <f>HYPERLINK("http://dx.doi.org/10.5209/aguc.85175","http://dx.doi.org/10.5209/aguc.85175")</f>
        <v>http://dx.doi.org/10.5209/aguc.85175</v>
      </c>
    </row>
    <row r="921" spans="1:16" ht="15.75" customHeight="1">
      <c r="A921" s="1" t="s">
        <v>10</v>
      </c>
      <c r="B921" s="1" t="s">
        <v>4749</v>
      </c>
      <c r="C921" s="1" t="s">
        <v>4750</v>
      </c>
      <c r="D921" s="1" t="s">
        <v>650</v>
      </c>
      <c r="E921" s="1" t="s">
        <v>4751</v>
      </c>
      <c r="F921" s="1" t="s">
        <v>4752</v>
      </c>
      <c r="H921" s="1">
        <v>0</v>
      </c>
      <c r="I921" s="1">
        <v>2022</v>
      </c>
      <c r="J921" s="1">
        <v>2022</v>
      </c>
      <c r="K921" s="1">
        <v>42</v>
      </c>
      <c r="O921" s="1" t="s">
        <v>4753</v>
      </c>
    </row>
    <row r="922" spans="1:16" ht="15.75" customHeight="1">
      <c r="A922" s="1" t="s">
        <v>463</v>
      </c>
      <c r="B922" s="1" t="s">
        <v>2422</v>
      </c>
      <c r="C922" s="1" t="s">
        <v>2423</v>
      </c>
      <c r="D922" s="1" t="s">
        <v>466</v>
      </c>
      <c r="E922" s="1" t="s">
        <v>2424</v>
      </c>
      <c r="F922" s="1" t="s">
        <v>2425</v>
      </c>
      <c r="H922" s="1">
        <v>0</v>
      </c>
      <c r="I922" s="1">
        <v>2022</v>
      </c>
      <c r="J922" s="1" t="s">
        <v>2426</v>
      </c>
      <c r="O922" s="1" t="s">
        <v>2427</v>
      </c>
    </row>
    <row r="923" spans="1:16" ht="15.75" customHeight="1">
      <c r="A923" s="1" t="s">
        <v>10</v>
      </c>
      <c r="B923" s="1" t="s">
        <v>6836</v>
      </c>
      <c r="C923" s="1" t="s">
        <v>6837</v>
      </c>
      <c r="D923" s="1" t="s">
        <v>5814</v>
      </c>
      <c r="E923" s="1" t="s">
        <v>6838</v>
      </c>
      <c r="F923" s="1" t="s">
        <v>6839</v>
      </c>
      <c r="H923" s="1">
        <v>0</v>
      </c>
      <c r="I923" s="1">
        <v>2022</v>
      </c>
      <c r="O923" s="1" t="s">
        <v>6840</v>
      </c>
    </row>
    <row r="924" spans="1:16" ht="15.75" customHeight="1">
      <c r="A924" s="1" t="s">
        <v>10</v>
      </c>
      <c r="B924" s="1" t="s">
        <v>5233</v>
      </c>
      <c r="C924" s="1" t="s">
        <v>5234</v>
      </c>
      <c r="D924" s="1" t="s">
        <v>5235</v>
      </c>
      <c r="E924" s="1" t="s">
        <v>5236</v>
      </c>
      <c r="F924" s="1" t="s">
        <v>5237</v>
      </c>
      <c r="H924" s="1">
        <v>0</v>
      </c>
      <c r="I924" s="1">
        <v>2022</v>
      </c>
      <c r="J924" s="1">
        <v>64</v>
      </c>
      <c r="K924" s="1">
        <v>4</v>
      </c>
      <c r="O924" s="1" t="s">
        <v>5238</v>
      </c>
    </row>
    <row r="925" spans="1:16" ht="15.75" customHeight="1">
      <c r="A925" s="1" t="s">
        <v>0</v>
      </c>
      <c r="B925" s="1" t="s">
        <v>6249</v>
      </c>
      <c r="C925" s="2" t="s">
        <v>6250</v>
      </c>
      <c r="D925" s="1" t="s">
        <v>154</v>
      </c>
      <c r="E925" s="1" t="s">
        <v>6251</v>
      </c>
      <c r="F925" s="1" t="s">
        <v>6252</v>
      </c>
      <c r="G925" s="1">
        <v>70</v>
      </c>
      <c r="H925" s="1">
        <v>0</v>
      </c>
      <c r="I925" s="1">
        <v>2022</v>
      </c>
      <c r="J925" s="1">
        <v>37</v>
      </c>
      <c r="K925" s="1">
        <v>1</v>
      </c>
      <c r="L925" s="1">
        <v>135</v>
      </c>
      <c r="M925" s="1">
        <v>158</v>
      </c>
      <c r="N925" s="1" t="s">
        <v>6</v>
      </c>
      <c r="O925" s="1" t="s">
        <v>6253</v>
      </c>
      <c r="P925" s="3" t="str">
        <f>HYPERLINK("http://dx.doi.org/10.4067/S0718-23762022000100135","http://dx.doi.org/10.4067/S0718-23762022000100135")</f>
        <v>http://dx.doi.org/10.4067/S0718-23762022000100135</v>
      </c>
    </row>
    <row r="926" spans="1:16" ht="15.75" customHeight="1">
      <c r="A926" s="1" t="s">
        <v>0</v>
      </c>
      <c r="B926" s="1" t="s">
        <v>3829</v>
      </c>
      <c r="C926" s="1" t="s">
        <v>3833</v>
      </c>
      <c r="D926" s="1" t="s">
        <v>578</v>
      </c>
      <c r="E926" s="1" t="s">
        <v>3834</v>
      </c>
      <c r="F926" s="1" t="s">
        <v>3835</v>
      </c>
      <c r="G926" s="1">
        <v>54</v>
      </c>
      <c r="H926" s="1">
        <v>0</v>
      </c>
      <c r="I926" s="1">
        <v>2022</v>
      </c>
      <c r="J926" s="1">
        <v>17</v>
      </c>
      <c r="K926" s="1" t="s">
        <v>1093</v>
      </c>
      <c r="O926" s="1" t="s">
        <v>3836</v>
      </c>
    </row>
    <row r="927" spans="1:16" ht="15.75" customHeight="1">
      <c r="A927" s="1" t="s">
        <v>10</v>
      </c>
      <c r="B927" s="1" t="s">
        <v>1241</v>
      </c>
      <c r="C927" s="1" t="s">
        <v>1242</v>
      </c>
      <c r="D927" s="1" t="s">
        <v>1243</v>
      </c>
      <c r="E927" s="1" t="s">
        <v>1244</v>
      </c>
      <c r="F927" s="1" t="s">
        <v>1245</v>
      </c>
      <c r="H927" s="1">
        <v>0</v>
      </c>
      <c r="I927" s="1">
        <v>2022</v>
      </c>
      <c r="J927" s="1">
        <v>162</v>
      </c>
      <c r="K927" s="1">
        <v>2</v>
      </c>
      <c r="O927" s="1" t="s">
        <v>1246</v>
      </c>
    </row>
    <row r="928" spans="1:16" ht="15.75" customHeight="1">
      <c r="A928" s="1" t="s">
        <v>0</v>
      </c>
      <c r="B928" s="1" t="s">
        <v>1222</v>
      </c>
      <c r="C928" s="1" t="s">
        <v>1223</v>
      </c>
      <c r="D928" s="1" t="s">
        <v>1224</v>
      </c>
      <c r="E928" s="1" t="s">
        <v>1225</v>
      </c>
      <c r="F928" s="1" t="s">
        <v>1226</v>
      </c>
      <c r="G928" s="1">
        <v>73</v>
      </c>
      <c r="H928" s="1">
        <v>0</v>
      </c>
      <c r="I928" s="1">
        <v>2022</v>
      </c>
      <c r="J928" s="1">
        <v>95</v>
      </c>
      <c r="K928" s="1" t="s">
        <v>61</v>
      </c>
      <c r="O928" s="1" t="s">
        <v>1227</v>
      </c>
    </row>
    <row r="929" spans="1:16" ht="15.75" customHeight="1">
      <c r="A929" s="1" t="s">
        <v>10</v>
      </c>
      <c r="B929" s="1" t="s">
        <v>5896</v>
      </c>
      <c r="C929" s="1" t="s">
        <v>5897</v>
      </c>
      <c r="D929" s="1" t="s">
        <v>5898</v>
      </c>
      <c r="E929" s="1" t="s">
        <v>5899</v>
      </c>
      <c r="F929" s="1" t="s">
        <v>5900</v>
      </c>
      <c r="H929" s="1">
        <v>0</v>
      </c>
      <c r="I929" s="1">
        <v>2022</v>
      </c>
      <c r="J929" s="1">
        <v>4</v>
      </c>
      <c r="K929" s="1">
        <v>3</v>
      </c>
      <c r="O929" s="1" t="s">
        <v>5901</v>
      </c>
    </row>
    <row r="930" spans="1:16" ht="15.75" customHeight="1">
      <c r="A930" s="1" t="s">
        <v>10</v>
      </c>
      <c r="B930" s="1" t="s">
        <v>1802</v>
      </c>
      <c r="C930" s="1" t="s">
        <v>1803</v>
      </c>
      <c r="D930" s="1" t="s">
        <v>94</v>
      </c>
      <c r="E930" s="1" t="s">
        <v>1804</v>
      </c>
      <c r="F930" s="1" t="s">
        <v>1805</v>
      </c>
      <c r="H930" s="1">
        <v>0</v>
      </c>
      <c r="I930" s="1">
        <v>2022</v>
      </c>
      <c r="J930" s="1">
        <v>20</v>
      </c>
      <c r="K930" s="1">
        <v>3</v>
      </c>
      <c r="O930" s="1" t="s">
        <v>1806</v>
      </c>
    </row>
    <row r="931" spans="1:16" ht="15.75" customHeight="1">
      <c r="A931" s="1" t="s">
        <v>10</v>
      </c>
      <c r="B931" s="1" t="s">
        <v>1700</v>
      </c>
      <c r="C931" s="1" t="s">
        <v>1701</v>
      </c>
      <c r="D931" s="1" t="s">
        <v>1702</v>
      </c>
      <c r="E931" s="1" t="s">
        <v>1703</v>
      </c>
      <c r="F931" s="1" t="s">
        <v>1704</v>
      </c>
      <c r="H931" s="1">
        <v>0</v>
      </c>
      <c r="I931" s="1">
        <v>2022</v>
      </c>
      <c r="J931" s="1">
        <v>21</v>
      </c>
      <c r="K931" s="1">
        <v>1</v>
      </c>
      <c r="O931" s="1" t="s">
        <v>1705</v>
      </c>
    </row>
    <row r="932" spans="1:16" ht="15.75" customHeight="1">
      <c r="A932" s="1" t="s">
        <v>10</v>
      </c>
      <c r="B932" s="1" t="s">
        <v>340</v>
      </c>
      <c r="C932" s="1" t="s">
        <v>341</v>
      </c>
      <c r="D932" s="1" t="s">
        <v>342</v>
      </c>
      <c r="E932" s="1" t="s">
        <v>343</v>
      </c>
      <c r="F932" s="1" t="s">
        <v>344</v>
      </c>
      <c r="H932" s="1">
        <v>0</v>
      </c>
      <c r="I932" s="1">
        <v>2022</v>
      </c>
      <c r="J932" s="1">
        <v>46</v>
      </c>
      <c r="K932" s="1">
        <v>1</v>
      </c>
      <c r="O932" s="1" t="s">
        <v>345</v>
      </c>
    </row>
    <row r="933" spans="1:16" ht="15.75" customHeight="1">
      <c r="A933" s="1" t="s">
        <v>10</v>
      </c>
      <c r="B933" s="1" t="s">
        <v>6052</v>
      </c>
      <c r="C933" s="1" t="s">
        <v>6053</v>
      </c>
      <c r="D933" s="1" t="s">
        <v>1434</v>
      </c>
      <c r="E933" s="1" t="s">
        <v>6054</v>
      </c>
      <c r="F933" s="1" t="s">
        <v>6055</v>
      </c>
      <c r="H933" s="1">
        <v>0</v>
      </c>
      <c r="I933" s="1">
        <v>2022</v>
      </c>
      <c r="J933" s="1">
        <v>19</v>
      </c>
      <c r="K933" s="1">
        <v>1</v>
      </c>
      <c r="O933" s="1" t="s">
        <v>6056</v>
      </c>
    </row>
    <row r="934" spans="1:16" ht="15.75" customHeight="1">
      <c r="A934" s="1" t="s">
        <v>10</v>
      </c>
      <c r="B934" s="1" t="s">
        <v>4291</v>
      </c>
      <c r="C934" s="1" t="s">
        <v>4292</v>
      </c>
      <c r="D934" s="1" t="s">
        <v>4293</v>
      </c>
      <c r="E934" s="1" t="s">
        <v>4294</v>
      </c>
      <c r="F934" s="1" t="s">
        <v>4295</v>
      </c>
      <c r="H934" s="1">
        <v>0</v>
      </c>
      <c r="I934" s="1">
        <v>2022</v>
      </c>
      <c r="J934" s="1">
        <v>15</v>
      </c>
      <c r="K934" s="1">
        <v>1</v>
      </c>
      <c r="O934" s="1" t="s">
        <v>4296</v>
      </c>
    </row>
    <row r="935" spans="1:16" ht="15.75" customHeight="1">
      <c r="A935" s="1" t="s">
        <v>0</v>
      </c>
      <c r="B935" s="1" t="s">
        <v>2090</v>
      </c>
      <c r="C935" s="1" t="s">
        <v>2091</v>
      </c>
      <c r="D935" s="1" t="s">
        <v>2092</v>
      </c>
      <c r="E935" s="1" t="s">
        <v>2093</v>
      </c>
      <c r="F935" s="1" t="s">
        <v>2094</v>
      </c>
      <c r="G935" s="1">
        <v>51</v>
      </c>
      <c r="H935" s="1">
        <v>0</v>
      </c>
      <c r="I935" s="1">
        <v>2022</v>
      </c>
      <c r="J935" s="1">
        <v>25</v>
      </c>
      <c r="K935" s="1">
        <v>2</v>
      </c>
      <c r="L935" s="1">
        <v>572</v>
      </c>
      <c r="M935" s="1">
        <v>588</v>
      </c>
      <c r="N935" s="1">
        <v>1.3675494211013812E+16</v>
      </c>
      <c r="O935" s="1" t="s">
        <v>2095</v>
      </c>
      <c r="P935" s="3" t="str">
        <f>HYPERLINK("http://dx.doi.org/10.1177/13675494211013813","http://dx.doi.org/10.1177/13675494211013813")</f>
        <v>http://dx.doi.org/10.1177/13675494211013813</v>
      </c>
    </row>
    <row r="936" spans="1:16" ht="15.75" customHeight="1">
      <c r="A936" s="1" t="s">
        <v>10</v>
      </c>
      <c r="B936" s="1" t="s">
        <v>1615</v>
      </c>
      <c r="C936" s="1" t="s">
        <v>1616</v>
      </c>
      <c r="D936" s="1" t="s">
        <v>1522</v>
      </c>
      <c r="E936" s="1" t="s">
        <v>1617</v>
      </c>
      <c r="F936" s="1" t="s">
        <v>1618</v>
      </c>
      <c r="H936" s="1">
        <v>0</v>
      </c>
      <c r="I936" s="1">
        <v>2022</v>
      </c>
      <c r="K936" s="1">
        <v>68</v>
      </c>
      <c r="O936" s="1" t="s">
        <v>1619</v>
      </c>
    </row>
    <row r="937" spans="1:16" ht="15.75" customHeight="1">
      <c r="A937" s="1" t="s">
        <v>10</v>
      </c>
      <c r="B937" s="1" t="s">
        <v>4394</v>
      </c>
      <c r="C937" s="1" t="s">
        <v>4395</v>
      </c>
      <c r="D937" s="1" t="s">
        <v>4396</v>
      </c>
      <c r="E937" s="1" t="s">
        <v>4397</v>
      </c>
      <c r="F937" s="1" t="s">
        <v>4398</v>
      </c>
      <c r="H937" s="1">
        <v>0</v>
      </c>
      <c r="I937" s="1">
        <v>2022</v>
      </c>
      <c r="K937" s="1">
        <v>526</v>
      </c>
      <c r="O937" s="1" t="s">
        <v>4399</v>
      </c>
    </row>
    <row r="938" spans="1:16" ht="15.75" customHeight="1">
      <c r="A938" s="1" t="s">
        <v>10</v>
      </c>
      <c r="B938" s="1" t="s">
        <v>648</v>
      </c>
      <c r="C938" s="1" t="s">
        <v>649</v>
      </c>
      <c r="D938" s="1" t="s">
        <v>650</v>
      </c>
      <c r="E938" s="1" t="s">
        <v>651</v>
      </c>
      <c r="F938" s="1" t="s">
        <v>652</v>
      </c>
      <c r="H938" s="1">
        <v>0</v>
      </c>
      <c r="I938" s="1">
        <v>2022</v>
      </c>
      <c r="J938" s="1">
        <v>2022</v>
      </c>
      <c r="K938" s="1">
        <v>43</v>
      </c>
      <c r="O938" s="1" t="s">
        <v>653</v>
      </c>
    </row>
    <row r="939" spans="1:16" ht="15.75" customHeight="1">
      <c r="A939" s="1" t="s">
        <v>0</v>
      </c>
      <c r="B939" s="1" t="s">
        <v>2251</v>
      </c>
      <c r="C939" s="1" t="s">
        <v>2252</v>
      </c>
      <c r="D939" s="1" t="s">
        <v>836</v>
      </c>
      <c r="E939" s="1" t="s">
        <v>2253</v>
      </c>
      <c r="F939" s="1" t="s">
        <v>2254</v>
      </c>
      <c r="G939" s="1">
        <v>55</v>
      </c>
      <c r="H939" s="1">
        <v>0</v>
      </c>
      <c r="I939" s="1">
        <v>2022</v>
      </c>
      <c r="J939" s="1">
        <v>14</v>
      </c>
      <c r="K939" s="1">
        <v>2</v>
      </c>
      <c r="L939" s="1">
        <v>272</v>
      </c>
      <c r="M939" s="1">
        <v>293</v>
      </c>
      <c r="N939" s="1" t="s">
        <v>6</v>
      </c>
      <c r="O939" s="1" t="s">
        <v>2255</v>
      </c>
      <c r="P939" s="3" t="str">
        <f>HYPERLINK("http://dx.doi.org/10.6092/issn.2036-0967/15322","http://dx.doi.org/10.6092/issn.2036-0967/15322")</f>
        <v>http://dx.doi.org/10.6092/issn.2036-0967/15322</v>
      </c>
    </row>
    <row r="940" spans="1:16" ht="15.75" customHeight="1">
      <c r="A940" s="1" t="s">
        <v>0</v>
      </c>
      <c r="B940" s="10" t="s">
        <v>4414</v>
      </c>
      <c r="C940" s="1" t="s">
        <v>4415</v>
      </c>
      <c r="D940" s="1" t="s">
        <v>578</v>
      </c>
      <c r="E940" s="1" t="s">
        <v>4416</v>
      </c>
      <c r="F940" s="1" t="s">
        <v>4417</v>
      </c>
      <c r="G940" s="1">
        <v>43</v>
      </c>
      <c r="H940" s="1">
        <v>0</v>
      </c>
      <c r="I940" s="1">
        <v>2022</v>
      </c>
      <c r="J940" s="1">
        <v>17</v>
      </c>
      <c r="K940" s="1" t="s">
        <v>581</v>
      </c>
      <c r="O940" s="1" t="s">
        <v>4418</v>
      </c>
    </row>
    <row r="941" spans="1:16" ht="15.75" customHeight="1">
      <c r="A941" s="1" t="s">
        <v>0</v>
      </c>
      <c r="B941" s="1" t="s">
        <v>4206</v>
      </c>
      <c r="C941" s="1" t="s">
        <v>4207</v>
      </c>
      <c r="D941" s="1" t="s">
        <v>4208</v>
      </c>
      <c r="E941" s="1" t="s">
        <v>4209</v>
      </c>
      <c r="F941" s="1" t="s">
        <v>4210</v>
      </c>
      <c r="G941" s="1">
        <v>45</v>
      </c>
      <c r="H941" s="1">
        <v>0</v>
      </c>
      <c r="I941" s="1">
        <v>2022</v>
      </c>
      <c r="J941" s="1">
        <v>21</v>
      </c>
      <c r="K941" s="1" t="s">
        <v>4211</v>
      </c>
      <c r="O941" s="1" t="s">
        <v>4212</v>
      </c>
    </row>
    <row r="942" spans="1:16" ht="15.75" customHeight="1">
      <c r="A942" s="1" t="s">
        <v>10</v>
      </c>
      <c r="B942" s="1" t="s">
        <v>851</v>
      </c>
      <c r="C942" s="1" t="s">
        <v>857</v>
      </c>
      <c r="D942" s="1" t="s">
        <v>858</v>
      </c>
      <c r="E942" s="1" t="s">
        <v>859</v>
      </c>
      <c r="F942" s="1" t="s">
        <v>860</v>
      </c>
      <c r="H942" s="1">
        <v>0</v>
      </c>
      <c r="I942" s="1">
        <v>2022</v>
      </c>
      <c r="J942" s="1">
        <v>41</v>
      </c>
      <c r="K942" s="1">
        <v>1</v>
      </c>
      <c r="O942" s="1" t="s">
        <v>861</v>
      </c>
    </row>
    <row r="943" spans="1:16" ht="15.75" customHeight="1">
      <c r="A943" s="1" t="s">
        <v>0</v>
      </c>
      <c r="B943" s="1" t="s">
        <v>4528</v>
      </c>
      <c r="C943" s="1" t="s">
        <v>4529</v>
      </c>
      <c r="D943" s="1" t="s">
        <v>4530</v>
      </c>
      <c r="E943" s="1" t="s">
        <v>4531</v>
      </c>
      <c r="F943" s="1" t="s">
        <v>4532</v>
      </c>
      <c r="G943" s="1">
        <v>31</v>
      </c>
      <c r="H943" s="1">
        <v>0</v>
      </c>
      <c r="I943" s="1">
        <v>2022</v>
      </c>
      <c r="J943" s="1">
        <v>26</v>
      </c>
      <c r="K943" s="1" t="s">
        <v>605</v>
      </c>
      <c r="O943" s="1" t="s">
        <v>4533</v>
      </c>
    </row>
    <row r="944" spans="1:16" ht="15.75" customHeight="1">
      <c r="A944" s="1" t="s">
        <v>31</v>
      </c>
      <c r="B944" s="1" t="s">
        <v>2611</v>
      </c>
      <c r="C944" s="1" t="s">
        <v>2612</v>
      </c>
      <c r="D944" s="1" t="s">
        <v>2612</v>
      </c>
      <c r="E944" s="1" t="s">
        <v>2613</v>
      </c>
      <c r="F944" s="1" t="s">
        <v>2614</v>
      </c>
      <c r="H944" s="1">
        <v>0</v>
      </c>
      <c r="I944" s="1">
        <v>2022</v>
      </c>
      <c r="O944" s="1" t="s">
        <v>2615</v>
      </c>
    </row>
    <row r="945" spans="1:16" ht="15.75" customHeight="1">
      <c r="A945" s="1" t="s">
        <v>0</v>
      </c>
      <c r="B945" s="1" t="s">
        <v>3381</v>
      </c>
      <c r="C945" s="1" t="s">
        <v>3382</v>
      </c>
      <c r="D945" s="1" t="s">
        <v>236</v>
      </c>
      <c r="E945" s="1" t="s">
        <v>3383</v>
      </c>
      <c r="F945" s="1" t="s">
        <v>3384</v>
      </c>
      <c r="G945" s="1">
        <v>31</v>
      </c>
      <c r="H945" s="1">
        <v>0</v>
      </c>
      <c r="I945" s="1">
        <v>2022</v>
      </c>
      <c r="J945" s="1">
        <v>45</v>
      </c>
      <c r="K945" s="1">
        <v>2</v>
      </c>
      <c r="L945" s="1">
        <v>327</v>
      </c>
      <c r="M945" s="1">
        <v>347</v>
      </c>
      <c r="N945" s="1" t="s">
        <v>6</v>
      </c>
      <c r="O945" s="1" t="s">
        <v>3385</v>
      </c>
      <c r="P945" s="3" t="str">
        <f>HYPERLINK("http://dx.doi.org/10.15446/rcs.v45n2/92708","http://dx.doi.org/10.15446/rcs.v45n2/92708")</f>
        <v>http://dx.doi.org/10.15446/rcs.v45n2/92708</v>
      </c>
    </row>
    <row r="946" spans="1:16" ht="15.75" customHeight="1">
      <c r="A946" s="1" t="s">
        <v>0</v>
      </c>
      <c r="B946" s="1" t="s">
        <v>1637</v>
      </c>
      <c r="C946" s="1" t="s">
        <v>1638</v>
      </c>
      <c r="D946" s="1" t="s">
        <v>1639</v>
      </c>
      <c r="E946" s="1" t="s">
        <v>1640</v>
      </c>
      <c r="F946" s="1" t="s">
        <v>1641</v>
      </c>
      <c r="G946" s="1">
        <v>32</v>
      </c>
      <c r="H946" s="1">
        <v>0</v>
      </c>
      <c r="I946" s="1">
        <v>2022</v>
      </c>
      <c r="J946" s="1">
        <v>19</v>
      </c>
      <c r="K946" s="1">
        <v>48</v>
      </c>
      <c r="L946" s="1">
        <v>161</v>
      </c>
      <c r="M946" s="1">
        <v>181</v>
      </c>
      <c r="N946" s="1" t="s">
        <v>6</v>
      </c>
      <c r="O946" s="1" t="s">
        <v>1642</v>
      </c>
      <c r="P946" s="3" t="str">
        <f>HYPERLINK("http://dx.doi.org/10.29092/uacm.v19i48.899","http://dx.doi.org/10.29092/uacm.v19i48.899")</f>
        <v>http://dx.doi.org/10.29092/uacm.v19i48.899</v>
      </c>
    </row>
    <row r="947" spans="1:16" ht="15.75" customHeight="1">
      <c r="A947" s="1" t="s">
        <v>0</v>
      </c>
      <c r="B947" s="1" t="s">
        <v>5284</v>
      </c>
      <c r="C947" s="1" t="s">
        <v>5285</v>
      </c>
      <c r="D947" s="1" t="s">
        <v>2910</v>
      </c>
      <c r="E947" s="1" t="s">
        <v>5286</v>
      </c>
      <c r="F947" s="1" t="s">
        <v>5287</v>
      </c>
      <c r="G947" s="1">
        <v>77</v>
      </c>
      <c r="H947" s="1">
        <v>0</v>
      </c>
      <c r="I947" s="1">
        <v>2022</v>
      </c>
      <c r="J947" s="1">
        <v>23</v>
      </c>
      <c r="K947" s="1" t="s">
        <v>6</v>
      </c>
      <c r="L947" s="1" t="s">
        <v>6</v>
      </c>
      <c r="M947" s="1" t="s">
        <v>6</v>
      </c>
      <c r="N947" s="1" t="s">
        <v>5288</v>
      </c>
      <c r="O947" s="1" t="s">
        <v>5289</v>
      </c>
      <c r="P947" s="3" t="str">
        <f>HYPERLINK("http://dx.doi.org/10.21670/ref.2216100","http://dx.doi.org/10.21670/ref.2216100")</f>
        <v>http://dx.doi.org/10.21670/ref.2216100</v>
      </c>
    </row>
    <row r="948" spans="1:16" ht="15.75" customHeight="1">
      <c r="A948" s="1" t="s">
        <v>0</v>
      </c>
      <c r="B948" s="1" t="s">
        <v>2304</v>
      </c>
      <c r="C948" s="1" t="s">
        <v>2305</v>
      </c>
      <c r="D948" s="1" t="s">
        <v>2306</v>
      </c>
      <c r="E948" s="1" t="s">
        <v>2307</v>
      </c>
      <c r="F948" s="1" t="s">
        <v>2308</v>
      </c>
      <c r="G948" s="1">
        <v>44</v>
      </c>
      <c r="H948" s="1">
        <v>0</v>
      </c>
      <c r="I948" s="1">
        <v>2022</v>
      </c>
      <c r="J948" s="1">
        <v>13</v>
      </c>
      <c r="K948" s="1">
        <v>38</v>
      </c>
      <c r="L948" s="1">
        <v>8</v>
      </c>
      <c r="M948" s="1">
        <v>37</v>
      </c>
      <c r="N948" s="1" t="s">
        <v>6</v>
      </c>
      <c r="O948" s="1" t="s">
        <v>2309</v>
      </c>
      <c r="P948" s="3" t="str">
        <f>HYPERLINK("http://dx.doi.org/10.46925//rdluz.38.02","http://dx.doi.org/10.46925//rdluz.38.02")</f>
        <v>http://dx.doi.org/10.46925//rdluz.38.02</v>
      </c>
    </row>
    <row r="949" spans="1:16" ht="15.75" customHeight="1">
      <c r="A949" s="1" t="s">
        <v>10</v>
      </c>
      <c r="B949" s="1" t="s">
        <v>3882</v>
      </c>
      <c r="C949" s="1" t="s">
        <v>3883</v>
      </c>
      <c r="D949" s="1" t="s">
        <v>3884</v>
      </c>
      <c r="E949" s="1" t="s">
        <v>3885</v>
      </c>
      <c r="F949" s="1" t="s">
        <v>3886</v>
      </c>
      <c r="H949" s="1">
        <v>0</v>
      </c>
      <c r="I949" s="1">
        <v>2022</v>
      </c>
      <c r="K949" s="1">
        <v>52</v>
      </c>
      <c r="O949" s="1" t="s">
        <v>3887</v>
      </c>
    </row>
    <row r="950" spans="1:16" ht="15.75" customHeight="1">
      <c r="A950" s="1" t="s">
        <v>10</v>
      </c>
      <c r="B950" s="1" t="s">
        <v>4655</v>
      </c>
      <c r="C950" s="1" t="s">
        <v>4656</v>
      </c>
      <c r="D950" s="1" t="s">
        <v>650</v>
      </c>
      <c r="E950" s="1" t="s">
        <v>4657</v>
      </c>
      <c r="F950" s="1" t="s">
        <v>4658</v>
      </c>
      <c r="H950" s="1">
        <v>0</v>
      </c>
      <c r="I950" s="1">
        <v>2022</v>
      </c>
      <c r="J950" s="1">
        <v>2022</v>
      </c>
      <c r="K950" s="1">
        <v>43</v>
      </c>
      <c r="O950" s="1" t="s">
        <v>4659</v>
      </c>
    </row>
    <row r="951" spans="1:16" ht="15.75" customHeight="1">
      <c r="A951" s="1" t="s">
        <v>10</v>
      </c>
      <c r="B951" s="1" t="s">
        <v>3218</v>
      </c>
      <c r="C951" s="1" t="s">
        <v>3219</v>
      </c>
      <c r="D951" s="1" t="s">
        <v>3220</v>
      </c>
      <c r="E951" s="1" t="s">
        <v>3221</v>
      </c>
      <c r="F951" s="1" t="s">
        <v>3222</v>
      </c>
      <c r="H951" s="1">
        <v>0</v>
      </c>
      <c r="I951" s="1">
        <v>2022</v>
      </c>
      <c r="J951" s="1">
        <v>20</v>
      </c>
      <c r="K951" s="1">
        <v>1</v>
      </c>
      <c r="O951" s="1" t="s">
        <v>3223</v>
      </c>
    </row>
    <row r="952" spans="1:16" ht="15.75" customHeight="1">
      <c r="A952" s="1" t="s">
        <v>0</v>
      </c>
      <c r="B952" s="1" t="s">
        <v>3037</v>
      </c>
      <c r="C952" s="1" t="s">
        <v>3038</v>
      </c>
      <c r="D952" s="1" t="s">
        <v>2339</v>
      </c>
      <c r="E952" s="1" t="s">
        <v>3039</v>
      </c>
      <c r="F952" s="1" t="s">
        <v>3040</v>
      </c>
      <c r="G952" s="1">
        <v>39</v>
      </c>
      <c r="H952" s="1">
        <v>0</v>
      </c>
      <c r="I952" s="1">
        <v>2022</v>
      </c>
      <c r="K952" s="1" t="s">
        <v>396</v>
      </c>
    </row>
    <row r="953" spans="1:16" ht="15.75" customHeight="1">
      <c r="A953" s="1" t="s">
        <v>0</v>
      </c>
      <c r="B953" s="1" t="s">
        <v>2549</v>
      </c>
      <c r="C953" s="1" t="s">
        <v>2550</v>
      </c>
      <c r="D953" s="1" t="s">
        <v>148</v>
      </c>
      <c r="E953" s="1" t="s">
        <v>2551</v>
      </c>
      <c r="F953" s="1" t="s">
        <v>2552</v>
      </c>
      <c r="G953" s="1">
        <v>82</v>
      </c>
      <c r="H953" s="1">
        <v>0</v>
      </c>
      <c r="I953" s="1">
        <v>2022</v>
      </c>
      <c r="J953" s="1">
        <v>30</v>
      </c>
      <c r="K953" s="1" t="s">
        <v>6</v>
      </c>
      <c r="L953" s="1" t="s">
        <v>6</v>
      </c>
      <c r="M953" s="1" t="s">
        <v>6</v>
      </c>
      <c r="N953" s="1" t="s">
        <v>6</v>
      </c>
      <c r="O953" s="1" t="s">
        <v>2553</v>
      </c>
      <c r="P953" s="3" t="str">
        <f>HYPERLINK("http://dx.doi.org/10.14507/epaa.30.6057","http://dx.doi.org/10.14507/epaa.30.6057")</f>
        <v>http://dx.doi.org/10.14507/epaa.30.6057</v>
      </c>
    </row>
    <row r="954" spans="1:16" ht="15.75" customHeight="1">
      <c r="A954" s="1" t="s">
        <v>0</v>
      </c>
      <c r="B954" s="1" t="s">
        <v>6595</v>
      </c>
      <c r="C954" s="1" t="s">
        <v>6596</v>
      </c>
      <c r="D954" s="1" t="s">
        <v>996</v>
      </c>
      <c r="E954" s="1" t="s">
        <v>6597</v>
      </c>
      <c r="F954" s="1" t="s">
        <v>6598</v>
      </c>
      <c r="G954" s="1">
        <v>33</v>
      </c>
      <c r="H954" s="1">
        <v>0</v>
      </c>
      <c r="I954" s="1">
        <v>2022</v>
      </c>
      <c r="J954" s="1">
        <v>32</v>
      </c>
      <c r="K954" s="1">
        <v>1</v>
      </c>
      <c r="L954" s="1">
        <v>493</v>
      </c>
      <c r="M954" s="1">
        <v>513</v>
      </c>
      <c r="N954" s="1" t="s">
        <v>6</v>
      </c>
      <c r="O954" s="1" t="s">
        <v>6599</v>
      </c>
      <c r="P954" s="3" t="str">
        <f>HYPERLINK("http://dx.doi.org/10.7770/CUHSO-V32N1-ART2408","http://dx.doi.org/10.7770/CUHSO-V32N1-ART2408")</f>
        <v>http://dx.doi.org/10.7770/CUHSO-V32N1-ART2408</v>
      </c>
    </row>
    <row r="955" spans="1:16" ht="15.75" customHeight="1">
      <c r="A955" s="1" t="s">
        <v>10</v>
      </c>
      <c r="B955" s="1" t="s">
        <v>5267</v>
      </c>
      <c r="C955" s="1" t="s">
        <v>5268</v>
      </c>
      <c r="D955" s="2" t="s">
        <v>5269</v>
      </c>
      <c r="E955" s="1" t="s">
        <v>5270</v>
      </c>
      <c r="F955" s="1" t="s">
        <v>5271</v>
      </c>
      <c r="H955" s="1">
        <v>0</v>
      </c>
      <c r="I955" s="1">
        <v>2022</v>
      </c>
      <c r="J955" s="1">
        <v>30</v>
      </c>
      <c r="O955" s="1" t="s">
        <v>5272</v>
      </c>
    </row>
    <row r="956" spans="1:16" ht="15.75" customHeight="1">
      <c r="A956" s="1" t="s">
        <v>0</v>
      </c>
      <c r="B956" s="1" t="s">
        <v>3446</v>
      </c>
      <c r="C956" s="1" t="s">
        <v>3447</v>
      </c>
      <c r="D956" s="1" t="s">
        <v>2910</v>
      </c>
      <c r="E956" s="1" t="s">
        <v>3448</v>
      </c>
      <c r="F956" s="1" t="s">
        <v>3449</v>
      </c>
      <c r="G956" s="1">
        <v>42</v>
      </c>
      <c r="H956" s="1">
        <v>0</v>
      </c>
      <c r="I956" s="1">
        <v>2022</v>
      </c>
      <c r="J956" s="1">
        <v>23</v>
      </c>
      <c r="K956" s="1" t="s">
        <v>6</v>
      </c>
      <c r="L956" s="1" t="s">
        <v>6</v>
      </c>
      <c r="M956" s="1" t="s">
        <v>6</v>
      </c>
      <c r="N956" s="1" t="s">
        <v>3450</v>
      </c>
      <c r="O956" s="1" t="s">
        <v>3451</v>
      </c>
      <c r="P956" s="3" t="str">
        <f>HYPERLINK("http://dx.doi.org/10.21670/ref.2202086","http://dx.doi.org/10.21670/ref.2202086")</f>
        <v>http://dx.doi.org/10.21670/ref.2202086</v>
      </c>
    </row>
    <row r="957" spans="1:16" ht="15.75" customHeight="1">
      <c r="A957" s="1" t="s">
        <v>0</v>
      </c>
      <c r="B957" s="1" t="s">
        <v>4879</v>
      </c>
      <c r="C957" s="1" t="s">
        <v>4880</v>
      </c>
      <c r="D957" s="1" t="s">
        <v>1815</v>
      </c>
      <c r="E957" s="1" t="s">
        <v>4881</v>
      </c>
      <c r="F957" s="1" t="s">
        <v>4882</v>
      </c>
      <c r="G957" s="1">
        <v>68</v>
      </c>
      <c r="H957" s="1">
        <v>0</v>
      </c>
      <c r="I957" s="1">
        <v>2022</v>
      </c>
      <c r="J957" s="1">
        <v>51</v>
      </c>
      <c r="K957" s="1" t="s">
        <v>6</v>
      </c>
      <c r="L957" s="1" t="s">
        <v>6</v>
      </c>
      <c r="M957" s="1" t="s">
        <v>6</v>
      </c>
      <c r="N957" s="1" t="s">
        <v>6</v>
      </c>
      <c r="O957" s="1" t="s">
        <v>6</v>
      </c>
      <c r="P957" s="1" t="s">
        <v>6</v>
      </c>
    </row>
    <row r="958" spans="1:16" ht="15.75" customHeight="1">
      <c r="A958" s="1" t="s">
        <v>10</v>
      </c>
      <c r="B958" s="1" t="s">
        <v>4472</v>
      </c>
      <c r="C958" s="1" t="s">
        <v>4473</v>
      </c>
      <c r="D958" s="1" t="s">
        <v>4474</v>
      </c>
      <c r="E958" s="1" t="s">
        <v>4475</v>
      </c>
      <c r="F958" s="1" t="s">
        <v>4476</v>
      </c>
      <c r="H958" s="1">
        <v>0</v>
      </c>
      <c r="I958" s="1">
        <v>2022</v>
      </c>
      <c r="J958" s="1">
        <v>31</v>
      </c>
      <c r="K958" s="1">
        <v>45</v>
      </c>
      <c r="O958" s="1" t="s">
        <v>4477</v>
      </c>
    </row>
    <row r="959" spans="1:16" ht="15.75" customHeight="1">
      <c r="A959" s="1" t="s">
        <v>0</v>
      </c>
      <c r="B959" s="1" t="s">
        <v>6173</v>
      </c>
      <c r="C959" s="1" t="s">
        <v>6174</v>
      </c>
      <c r="D959" s="1" t="s">
        <v>1428</v>
      </c>
      <c r="E959" s="1" t="s">
        <v>6175</v>
      </c>
      <c r="F959" s="1" t="s">
        <v>6176</v>
      </c>
      <c r="G959" s="1">
        <v>48</v>
      </c>
      <c r="H959" s="1">
        <v>0</v>
      </c>
      <c r="I959" s="1">
        <v>2022</v>
      </c>
      <c r="J959" s="1" t="s">
        <v>6</v>
      </c>
      <c r="K959" s="1">
        <v>89</v>
      </c>
      <c r="L959" s="1">
        <v>261</v>
      </c>
      <c r="M959" s="1">
        <v>288</v>
      </c>
      <c r="N959" s="1" t="s">
        <v>6</v>
      </c>
      <c r="O959" s="1" t="s">
        <v>6177</v>
      </c>
      <c r="P959" s="3" t="str">
        <f>HYPERLINK("http://dx.doi.org/10.18800/derechopucp.202202.009","http://dx.doi.org/10.18800/derechopucp.202202.009")</f>
        <v>http://dx.doi.org/10.18800/derechopucp.202202.009</v>
      </c>
    </row>
    <row r="960" spans="1:16" ht="15.75" customHeight="1">
      <c r="A960" s="1" t="s">
        <v>10</v>
      </c>
      <c r="B960" s="1" t="s">
        <v>422</v>
      </c>
      <c r="C960" s="1" t="s">
        <v>423</v>
      </c>
      <c r="D960" s="1" t="s">
        <v>424</v>
      </c>
      <c r="E960" s="1" t="s">
        <v>425</v>
      </c>
      <c r="F960" s="1" t="s">
        <v>426</v>
      </c>
      <c r="H960" s="1">
        <v>0</v>
      </c>
      <c r="I960" s="1">
        <v>2022</v>
      </c>
      <c r="J960" s="1">
        <v>27</v>
      </c>
      <c r="K960" s="1">
        <v>100</v>
      </c>
      <c r="O960" s="1" t="s">
        <v>427</v>
      </c>
    </row>
    <row r="961" spans="1:16" ht="15.75" customHeight="1">
      <c r="A961" s="1" t="s">
        <v>0</v>
      </c>
      <c r="B961" s="1" t="s">
        <v>3829</v>
      </c>
      <c r="C961" s="1" t="s">
        <v>3830</v>
      </c>
      <c r="D961" s="1" t="s">
        <v>1039</v>
      </c>
      <c r="E961" s="1" t="s">
        <v>3831</v>
      </c>
      <c r="F961" s="1" t="s">
        <v>3832</v>
      </c>
      <c r="G961" s="1">
        <v>39</v>
      </c>
      <c r="H961" s="1">
        <v>0</v>
      </c>
      <c r="I961" s="1">
        <v>2022</v>
      </c>
      <c r="J961" s="1">
        <v>17</v>
      </c>
      <c r="K961" s="1" t="s">
        <v>6</v>
      </c>
      <c r="L961" s="1" t="s">
        <v>6</v>
      </c>
      <c r="M961" s="1" t="s">
        <v>6</v>
      </c>
      <c r="N961" s="1">
        <v>6</v>
      </c>
      <c r="O961" s="1" t="s">
        <v>6</v>
      </c>
      <c r="P961" s="1" t="s">
        <v>6</v>
      </c>
    </row>
    <row r="962" spans="1:16" ht="15.75" customHeight="1">
      <c r="A962" s="1" t="s">
        <v>0</v>
      </c>
      <c r="B962" s="1" t="s">
        <v>2040</v>
      </c>
      <c r="C962" s="1" t="s">
        <v>2041</v>
      </c>
      <c r="D962" s="1" t="s">
        <v>58</v>
      </c>
      <c r="E962" s="1" t="s">
        <v>2042</v>
      </c>
      <c r="F962" s="1" t="s">
        <v>2043</v>
      </c>
      <c r="G962" s="1">
        <v>69</v>
      </c>
      <c r="H962" s="1">
        <v>0</v>
      </c>
      <c r="I962" s="1">
        <v>2022</v>
      </c>
      <c r="J962" s="1">
        <v>22</v>
      </c>
      <c r="K962" s="1">
        <v>1</v>
      </c>
      <c r="L962" s="1">
        <v>8</v>
      </c>
      <c r="M962" s="1">
        <v>33</v>
      </c>
      <c r="N962" s="1" t="s">
        <v>6</v>
      </c>
      <c r="O962" s="1" t="s">
        <v>6</v>
      </c>
      <c r="P962" s="1" t="s">
        <v>6</v>
      </c>
    </row>
    <row r="963" spans="1:16" ht="15.75" customHeight="1">
      <c r="A963" s="1" t="s">
        <v>0</v>
      </c>
      <c r="B963" s="1" t="s">
        <v>2326</v>
      </c>
      <c r="C963" s="1" t="s">
        <v>2327</v>
      </c>
      <c r="D963" s="1" t="s">
        <v>2328</v>
      </c>
      <c r="E963" s="1" t="s">
        <v>2329</v>
      </c>
      <c r="F963" s="1" t="s">
        <v>2330</v>
      </c>
      <c r="G963" s="1">
        <v>63</v>
      </c>
      <c r="H963" s="1">
        <v>0</v>
      </c>
      <c r="I963" s="1">
        <v>2022</v>
      </c>
      <c r="J963" s="1">
        <v>19</v>
      </c>
      <c r="K963" s="1">
        <v>38</v>
      </c>
      <c r="L963" s="1" t="s">
        <v>6</v>
      </c>
      <c r="M963" s="1" t="s">
        <v>6</v>
      </c>
      <c r="N963" s="1">
        <v>6766</v>
      </c>
      <c r="O963" s="1" t="s">
        <v>2331</v>
      </c>
      <c r="P963" s="3" t="str">
        <f>HYPERLINK("http://dx.doi.org/10.15332/2422409X.6766","http://dx.doi.org/10.15332/2422409X.6766")</f>
        <v>http://dx.doi.org/10.15332/2422409X.6766</v>
      </c>
    </row>
    <row r="964" spans="1:16" ht="15.75" customHeight="1">
      <c r="A964" s="1" t="s">
        <v>0</v>
      </c>
      <c r="B964" s="1" t="s">
        <v>560</v>
      </c>
      <c r="C964" s="1" t="s">
        <v>561</v>
      </c>
      <c r="D964" s="1" t="s">
        <v>562</v>
      </c>
      <c r="E964" s="1" t="s">
        <v>563</v>
      </c>
      <c r="F964" s="1" t="s">
        <v>564</v>
      </c>
      <c r="G964" s="1">
        <v>37</v>
      </c>
      <c r="H964" s="1">
        <v>0</v>
      </c>
      <c r="I964" s="1">
        <v>2022</v>
      </c>
      <c r="J964" s="1">
        <v>22</v>
      </c>
      <c r="K964" s="1" t="s">
        <v>6</v>
      </c>
      <c r="L964" s="1">
        <v>647</v>
      </c>
      <c r="M964" s="1">
        <v>678</v>
      </c>
      <c r="N964" s="1" t="s">
        <v>6</v>
      </c>
      <c r="O964" s="1" t="s">
        <v>6</v>
      </c>
      <c r="P964" s="1" t="s">
        <v>6</v>
      </c>
    </row>
    <row r="965" spans="1:16" ht="15.75" customHeight="1">
      <c r="A965" s="1" t="s">
        <v>0</v>
      </c>
      <c r="B965" s="1" t="s">
        <v>5460</v>
      </c>
      <c r="C965" s="10" t="s">
        <v>5461</v>
      </c>
      <c r="D965" s="1" t="s">
        <v>2022</v>
      </c>
      <c r="E965" s="1" t="s">
        <v>5462</v>
      </c>
      <c r="F965" s="1" t="s">
        <v>5463</v>
      </c>
      <c r="G965" s="1">
        <v>23</v>
      </c>
      <c r="H965" s="1">
        <v>0</v>
      </c>
      <c r="I965" s="1">
        <v>2022</v>
      </c>
      <c r="J965" s="1" t="s">
        <v>6</v>
      </c>
      <c r="K965" s="1">
        <v>81</v>
      </c>
      <c r="L965" s="1">
        <v>15</v>
      </c>
      <c r="M965" s="1">
        <v>34</v>
      </c>
      <c r="N965" s="1" t="s">
        <v>6</v>
      </c>
      <c r="O965" s="1" t="s">
        <v>6</v>
      </c>
      <c r="P965" s="1" t="s">
        <v>6</v>
      </c>
    </row>
    <row r="966" spans="1:16" ht="15.75" customHeight="1">
      <c r="A966" s="1" t="s">
        <v>10</v>
      </c>
      <c r="B966" s="1" t="s">
        <v>1455</v>
      </c>
      <c r="C966" s="1" t="s">
        <v>1456</v>
      </c>
      <c r="D966" s="1" t="s">
        <v>1457</v>
      </c>
      <c r="E966" s="1" t="s">
        <v>1458</v>
      </c>
      <c r="F966" s="1" t="s">
        <v>1459</v>
      </c>
      <c r="H966" s="1">
        <v>0</v>
      </c>
      <c r="I966" s="1">
        <v>2022</v>
      </c>
      <c r="J966" s="1">
        <v>31</v>
      </c>
      <c r="K966" s="1">
        <v>2</v>
      </c>
      <c r="O966" s="1" t="s">
        <v>1460</v>
      </c>
    </row>
    <row r="967" spans="1:16" ht="15.75" customHeight="1">
      <c r="A967" s="1" t="s">
        <v>0</v>
      </c>
      <c r="B967" s="1" t="s">
        <v>6993</v>
      </c>
      <c r="C967" s="1" t="s">
        <v>6994</v>
      </c>
      <c r="D967" s="1" t="s">
        <v>1264</v>
      </c>
      <c r="E967" s="1" t="s">
        <v>6995</v>
      </c>
      <c r="F967" s="1" t="s">
        <v>6996</v>
      </c>
      <c r="G967" s="1">
        <v>34</v>
      </c>
      <c r="H967" s="1">
        <v>0</v>
      </c>
      <c r="I967" s="1">
        <v>2022</v>
      </c>
      <c r="J967" s="1">
        <v>12</v>
      </c>
      <c r="K967" s="1">
        <v>2</v>
      </c>
      <c r="L967" s="1">
        <v>31</v>
      </c>
      <c r="M967" s="1">
        <v>81</v>
      </c>
      <c r="N967" s="1" t="s">
        <v>6</v>
      </c>
      <c r="O967" s="1" t="s">
        <v>6997</v>
      </c>
      <c r="P967" s="3" t="str">
        <f>HYPERLINK("http://dx.doi.org/10.25115/riem.v12i2.4656","http://dx.doi.org/10.25115/riem.v12i2.4656")</f>
        <v>http://dx.doi.org/10.25115/riem.v12i2.4656</v>
      </c>
    </row>
    <row r="968" spans="1:16" ht="15.75" customHeight="1">
      <c r="A968" s="1" t="s">
        <v>10</v>
      </c>
      <c r="B968" s="1" t="s">
        <v>6380</v>
      </c>
      <c r="C968" s="1" t="s">
        <v>6381</v>
      </c>
      <c r="D968" s="1" t="s">
        <v>6382</v>
      </c>
      <c r="E968" s="1" t="s">
        <v>6383</v>
      </c>
      <c r="F968" s="1" t="s">
        <v>6384</v>
      </c>
      <c r="H968" s="1">
        <v>0</v>
      </c>
      <c r="I968" s="1">
        <v>2022</v>
      </c>
      <c r="J968" s="1">
        <v>14</v>
      </c>
      <c r="K968" s="1">
        <v>6</v>
      </c>
    </row>
    <row r="969" spans="1:16" ht="15.75" customHeight="1">
      <c r="A969" s="1" t="s">
        <v>0</v>
      </c>
      <c r="B969" s="1" t="s">
        <v>2310</v>
      </c>
      <c r="C969" s="1" t="s">
        <v>2311</v>
      </c>
      <c r="D969" s="1" t="s">
        <v>264</v>
      </c>
      <c r="E969" s="1" t="s">
        <v>2312</v>
      </c>
      <c r="F969" s="1" t="s">
        <v>2313</v>
      </c>
      <c r="G969" s="1">
        <v>39</v>
      </c>
      <c r="H969" s="1">
        <v>0</v>
      </c>
      <c r="I969" s="1">
        <v>2022</v>
      </c>
      <c r="J969" s="1">
        <v>48</v>
      </c>
      <c r="K969" s="1">
        <v>13</v>
      </c>
      <c r="L969" s="1">
        <v>3202</v>
      </c>
      <c r="M969" s="1">
        <v>3220</v>
      </c>
      <c r="N969" s="1" t="s">
        <v>6</v>
      </c>
      <c r="O969" s="1" t="s">
        <v>2314</v>
      </c>
      <c r="P969" s="3" t="str">
        <f>HYPERLINK("http://dx.doi.org/10.1080/1369183X.2020.1797478","http://dx.doi.org/10.1080/1369183X.2020.1797478")</f>
        <v>http://dx.doi.org/10.1080/1369183X.2020.1797478</v>
      </c>
    </row>
    <row r="970" spans="1:16" ht="15.75" customHeight="1">
      <c r="A970" s="1" t="s">
        <v>10</v>
      </c>
      <c r="B970" s="1" t="s">
        <v>3175</v>
      </c>
      <c r="C970" s="1" t="s">
        <v>3176</v>
      </c>
      <c r="D970" s="1" t="s">
        <v>727</v>
      </c>
      <c r="E970" s="1" t="s">
        <v>3177</v>
      </c>
      <c r="F970" s="1" t="s">
        <v>3178</v>
      </c>
      <c r="H970" s="1">
        <v>0</v>
      </c>
      <c r="I970" s="1">
        <v>2022</v>
      </c>
      <c r="J970" s="1">
        <v>28</v>
      </c>
      <c r="K970" s="1">
        <v>2</v>
      </c>
      <c r="O970" s="1" t="s">
        <v>3179</v>
      </c>
    </row>
    <row r="971" spans="1:16" ht="15.75" customHeight="1">
      <c r="A971" s="1" t="s">
        <v>0</v>
      </c>
      <c r="B971" s="2" t="s">
        <v>5400</v>
      </c>
      <c r="C971" s="1" t="s">
        <v>5401</v>
      </c>
      <c r="D971" s="1" t="s">
        <v>2182</v>
      </c>
      <c r="E971" s="1" t="s">
        <v>5402</v>
      </c>
      <c r="F971" s="1" t="s">
        <v>5403</v>
      </c>
      <c r="G971" s="1">
        <v>62</v>
      </c>
      <c r="H971" s="1">
        <v>0</v>
      </c>
      <c r="I971" s="1">
        <v>2022</v>
      </c>
      <c r="J971" s="1">
        <v>35</v>
      </c>
      <c r="K971" s="1" t="s">
        <v>378</v>
      </c>
    </row>
    <row r="972" spans="1:16" ht="15.75" customHeight="1">
      <c r="A972" s="1" t="s">
        <v>0</v>
      </c>
      <c r="B972" s="1" t="s">
        <v>3301</v>
      </c>
      <c r="C972" s="1" t="s">
        <v>3302</v>
      </c>
      <c r="D972" s="1" t="s">
        <v>2078</v>
      </c>
      <c r="E972" s="1" t="s">
        <v>3303</v>
      </c>
      <c r="F972" s="1" t="s">
        <v>3304</v>
      </c>
      <c r="G972" s="1">
        <v>49</v>
      </c>
      <c r="H972" s="1">
        <v>0</v>
      </c>
      <c r="I972" s="1">
        <v>2022</v>
      </c>
      <c r="J972" s="1">
        <v>14</v>
      </c>
      <c r="K972" s="1">
        <v>2</v>
      </c>
      <c r="L972" s="1">
        <v>98</v>
      </c>
      <c r="M972" s="1">
        <v>107</v>
      </c>
      <c r="N972" s="1" t="s">
        <v>6</v>
      </c>
      <c r="O972" s="1" t="s">
        <v>6</v>
      </c>
      <c r="P972" s="1" t="s">
        <v>6</v>
      </c>
    </row>
    <row r="973" spans="1:16" ht="15.75" customHeight="1">
      <c r="A973" s="1" t="s">
        <v>0</v>
      </c>
      <c r="B973" s="1" t="s">
        <v>6590</v>
      </c>
      <c r="C973" s="1" t="s">
        <v>6591</v>
      </c>
      <c r="D973" s="1" t="s">
        <v>5374</v>
      </c>
      <c r="E973" s="1" t="s">
        <v>6592</v>
      </c>
      <c r="F973" s="1" t="s">
        <v>6593</v>
      </c>
      <c r="G973" s="1">
        <v>43</v>
      </c>
      <c r="H973" s="1">
        <v>0</v>
      </c>
      <c r="I973" s="1">
        <v>2022</v>
      </c>
      <c r="J973" s="1">
        <v>37</v>
      </c>
      <c r="K973" s="1">
        <v>105</v>
      </c>
      <c r="L973" s="1">
        <v>204</v>
      </c>
      <c r="M973" s="1">
        <v>225</v>
      </c>
      <c r="N973" s="1" t="s">
        <v>6</v>
      </c>
      <c r="O973" s="1" t="s">
        <v>6594</v>
      </c>
      <c r="P973" s="3" t="str">
        <f>HYPERLINK("http://dx.doi.org/10.5354/0718-8358.2022.65962","http://dx.doi.org/10.5354/0718-8358.2022.65962")</f>
        <v>http://dx.doi.org/10.5354/0718-8358.2022.65962</v>
      </c>
    </row>
    <row r="974" spans="1:16" ht="15.75" customHeight="1">
      <c r="A974" s="1" t="s">
        <v>0</v>
      </c>
      <c r="B974" s="1" t="s">
        <v>607</v>
      </c>
      <c r="C974" s="1" t="s">
        <v>608</v>
      </c>
      <c r="D974" s="1" t="s">
        <v>609</v>
      </c>
      <c r="E974" s="1" t="s">
        <v>610</v>
      </c>
      <c r="F974" s="1" t="s">
        <v>611</v>
      </c>
      <c r="G974" s="1">
        <v>93</v>
      </c>
      <c r="H974" s="1">
        <v>0</v>
      </c>
      <c r="I974" s="1">
        <v>2022</v>
      </c>
      <c r="J974" s="1" t="s">
        <v>6</v>
      </c>
      <c r="K974" s="1">
        <v>130</v>
      </c>
      <c r="L974" s="1">
        <v>193</v>
      </c>
      <c r="M974" s="1">
        <v>219</v>
      </c>
      <c r="N974" s="1" t="s">
        <v>6</v>
      </c>
      <c r="O974" s="1" t="s">
        <v>612</v>
      </c>
      <c r="P974" s="3" t="str">
        <f>HYPERLINK("http://dx.doi.org/10.24241/rcai.2022.130.1.193","http://dx.doi.org/10.24241/rcai.2022.130.1.193")</f>
        <v>http://dx.doi.org/10.24241/rcai.2022.130.1.193</v>
      </c>
    </row>
    <row r="975" spans="1:16" ht="15.75" customHeight="1">
      <c r="A975" s="1" t="s">
        <v>0</v>
      </c>
      <c r="B975" s="1" t="s">
        <v>5843</v>
      </c>
      <c r="C975" s="1" t="s">
        <v>5844</v>
      </c>
      <c r="D975" s="1" t="s">
        <v>578</v>
      </c>
      <c r="E975" s="1" t="s">
        <v>5845</v>
      </c>
      <c r="F975" s="1" t="s">
        <v>5846</v>
      </c>
      <c r="G975" s="1">
        <v>103</v>
      </c>
      <c r="H975" s="1">
        <v>0</v>
      </c>
      <c r="I975" s="1">
        <v>2022</v>
      </c>
      <c r="J975" s="1">
        <v>17</v>
      </c>
      <c r="K975" s="1" t="s">
        <v>1093</v>
      </c>
      <c r="O975" s="1" t="s">
        <v>5847</v>
      </c>
    </row>
    <row r="976" spans="1:16" ht="15.75" customHeight="1">
      <c r="A976" s="1" t="s">
        <v>10</v>
      </c>
      <c r="B976" s="1" t="s">
        <v>6747</v>
      </c>
      <c r="C976" s="1" t="s">
        <v>6748</v>
      </c>
      <c r="D976" s="1" t="s">
        <v>2166</v>
      </c>
      <c r="E976" s="1" t="s">
        <v>6749</v>
      </c>
      <c r="F976" s="1" t="s">
        <v>6750</v>
      </c>
      <c r="H976" s="1">
        <v>0</v>
      </c>
      <c r="I976" s="1">
        <v>2022</v>
      </c>
      <c r="J976" s="1">
        <v>14</v>
      </c>
      <c r="K976" s="1">
        <v>2</v>
      </c>
      <c r="O976" s="1" t="s">
        <v>6751</v>
      </c>
    </row>
    <row r="977" spans="1:16" ht="15.75" customHeight="1">
      <c r="A977" s="1" t="s">
        <v>0</v>
      </c>
      <c r="B977" s="1" t="s">
        <v>994</v>
      </c>
      <c r="C977" s="1" t="s">
        <v>995</v>
      </c>
      <c r="D977" s="1" t="s">
        <v>996</v>
      </c>
      <c r="E977" s="1" t="s">
        <v>997</v>
      </c>
      <c r="F977" s="1" t="s">
        <v>998</v>
      </c>
      <c r="G977" s="1">
        <v>35</v>
      </c>
      <c r="H977" s="1">
        <v>0</v>
      </c>
      <c r="I977" s="1">
        <v>2022</v>
      </c>
      <c r="J977" s="1">
        <v>32</v>
      </c>
      <c r="K977" s="1">
        <v>1</v>
      </c>
      <c r="L977" s="1">
        <v>514</v>
      </c>
      <c r="M977" s="1">
        <v>534</v>
      </c>
      <c r="N977" s="1" t="s">
        <v>6</v>
      </c>
      <c r="O977" s="1" t="s">
        <v>999</v>
      </c>
      <c r="P977" s="3" t="str">
        <f>HYPERLINK("http://dx.doi.org/10.7770/CUHSO-V32N1-ART2406","http://dx.doi.org/10.7770/CUHSO-V32N1-ART2406")</f>
        <v>http://dx.doi.org/10.7770/CUHSO-V32N1-ART2406</v>
      </c>
    </row>
    <row r="978" spans="1:16" ht="15.75" customHeight="1">
      <c r="A978" s="1" t="s">
        <v>0</v>
      </c>
      <c r="B978" s="1" t="s">
        <v>1362</v>
      </c>
      <c r="C978" s="1" t="s">
        <v>1363</v>
      </c>
      <c r="D978" s="1" t="s">
        <v>1364</v>
      </c>
      <c r="E978" s="1" t="s">
        <v>1365</v>
      </c>
      <c r="F978" s="1" t="s">
        <v>1366</v>
      </c>
      <c r="G978" s="1">
        <v>25</v>
      </c>
      <c r="H978" s="1">
        <v>0</v>
      </c>
      <c r="I978" s="1">
        <v>2022</v>
      </c>
      <c r="J978" s="1">
        <v>16</v>
      </c>
      <c r="K978" s="1" t="s">
        <v>6</v>
      </c>
      <c r="L978" s="1" t="s">
        <v>6</v>
      </c>
      <c r="M978" s="1" t="s">
        <v>6</v>
      </c>
      <c r="N978" s="1" t="s">
        <v>1367</v>
      </c>
      <c r="O978" s="1" t="s">
        <v>1368</v>
      </c>
      <c r="P978" s="3" t="str">
        <f>HYPERLINK("http://dx.doi.org/10.31406/relap2022.V16.e202108","http://dx.doi.org/10.31406/relap2022.V16.e202108")</f>
        <v>http://dx.doi.org/10.31406/relap2022.V16.e202108</v>
      </c>
    </row>
    <row r="979" spans="1:16" ht="15.75" customHeight="1">
      <c r="A979" s="1" t="s">
        <v>0</v>
      </c>
      <c r="B979" s="1" t="s">
        <v>3930</v>
      </c>
      <c r="C979" s="1" t="s">
        <v>3931</v>
      </c>
      <c r="D979" s="1" t="s">
        <v>1021</v>
      </c>
      <c r="E979" s="1" t="s">
        <v>3932</v>
      </c>
      <c r="F979" s="1" t="s">
        <v>3933</v>
      </c>
      <c r="G979" s="1">
        <v>53</v>
      </c>
      <c r="H979" s="1">
        <v>0</v>
      </c>
      <c r="I979" s="1">
        <v>2022</v>
      </c>
      <c r="J979" s="1" t="s">
        <v>6</v>
      </c>
      <c r="K979" s="1">
        <v>526</v>
      </c>
      <c r="L979" s="1">
        <v>61</v>
      </c>
      <c r="M979" s="1">
        <v>85</v>
      </c>
      <c r="N979" s="1" t="s">
        <v>6</v>
      </c>
      <c r="O979" s="1" t="s">
        <v>3934</v>
      </c>
      <c r="P979" s="3" t="str">
        <f>HYPERLINK("http://dx.doi.org/10.29393/At526-3NSMF30003","http://dx.doi.org/10.29393/At526-3NSMF30003")</f>
        <v>http://dx.doi.org/10.29393/At526-3NSMF30003</v>
      </c>
    </row>
    <row r="980" spans="1:16" ht="15.75" customHeight="1">
      <c r="A980" s="1" t="s">
        <v>0</v>
      </c>
      <c r="B980" s="1" t="s">
        <v>4664</v>
      </c>
      <c r="C980" s="1" t="s">
        <v>4665</v>
      </c>
      <c r="D980" s="1" t="s">
        <v>4666</v>
      </c>
      <c r="E980" s="1" t="s">
        <v>4667</v>
      </c>
      <c r="F980" s="1" t="s">
        <v>4668</v>
      </c>
      <c r="G980" s="1">
        <v>35</v>
      </c>
      <c r="H980" s="1">
        <v>0</v>
      </c>
      <c r="I980" s="1">
        <v>2022</v>
      </c>
      <c r="J980" s="1">
        <v>32</v>
      </c>
      <c r="K980" s="1">
        <v>2</v>
      </c>
      <c r="L980" s="1">
        <v>231</v>
      </c>
      <c r="M980" s="1">
        <v>245</v>
      </c>
      <c r="N980" s="1" t="s">
        <v>6</v>
      </c>
      <c r="O980" s="1" t="s">
        <v>4669</v>
      </c>
      <c r="P980" s="3" t="str">
        <f>HYPERLINK("http://dx.doi.org/10.15443/RL3214","http://dx.doi.org/10.15443/RL3214")</f>
        <v>http://dx.doi.org/10.15443/RL3214</v>
      </c>
    </row>
    <row r="981" spans="1:16" ht="15.75" customHeight="1">
      <c r="A981" s="1" t="s">
        <v>0</v>
      </c>
      <c r="B981" s="1" t="s">
        <v>2393</v>
      </c>
      <c r="C981" s="1" t="s">
        <v>2394</v>
      </c>
      <c r="D981" s="2" t="s">
        <v>2395</v>
      </c>
      <c r="E981" s="1" t="s">
        <v>2396</v>
      </c>
      <c r="F981" s="1" t="s">
        <v>2397</v>
      </c>
      <c r="G981" s="1">
        <v>63</v>
      </c>
      <c r="H981" s="1">
        <v>0</v>
      </c>
      <c r="I981" s="1">
        <v>2022</v>
      </c>
      <c r="J981" s="1">
        <v>20</v>
      </c>
      <c r="K981" s="1" t="s">
        <v>61</v>
      </c>
    </row>
    <row r="982" spans="1:16" ht="15.75" customHeight="1">
      <c r="A982" s="1" t="s">
        <v>0</v>
      </c>
      <c r="B982" s="1" t="s">
        <v>2443</v>
      </c>
      <c r="C982" s="1" t="s">
        <v>2444</v>
      </c>
      <c r="D982" s="1" t="s">
        <v>2445</v>
      </c>
      <c r="E982" s="1" t="s">
        <v>2446</v>
      </c>
      <c r="F982" s="1" t="s">
        <v>2447</v>
      </c>
      <c r="G982" s="1">
        <v>25</v>
      </c>
      <c r="H982" s="1">
        <v>0</v>
      </c>
      <c r="I982" s="1">
        <v>2022</v>
      </c>
      <c r="J982" s="1" t="s">
        <v>6</v>
      </c>
      <c r="K982" s="1">
        <v>15</v>
      </c>
      <c r="L982" s="1">
        <v>13</v>
      </c>
      <c r="M982" s="1">
        <v>43</v>
      </c>
      <c r="N982" s="1" t="s">
        <v>6</v>
      </c>
      <c r="O982" s="1" t="s">
        <v>2448</v>
      </c>
      <c r="P982" s="3" t="str">
        <f>HYPERLINK("http://dx.doi.org/10.12795/HabitatySociedad.2022.i15.02","http://dx.doi.org/10.12795/HabitatySociedad.2022.i15.02")</f>
        <v>http://dx.doi.org/10.12795/HabitatySociedad.2022.i15.02</v>
      </c>
    </row>
    <row r="983" spans="1:16" ht="15.75" customHeight="1">
      <c r="A983" s="1" t="s">
        <v>0</v>
      </c>
      <c r="B983" s="1" t="s">
        <v>565</v>
      </c>
      <c r="C983" s="1" t="s">
        <v>566</v>
      </c>
      <c r="D983" s="1" t="s">
        <v>567</v>
      </c>
      <c r="E983" s="1" t="s">
        <v>568</v>
      </c>
      <c r="F983" s="1" t="s">
        <v>569</v>
      </c>
      <c r="G983" s="1">
        <v>37</v>
      </c>
      <c r="H983" s="1">
        <v>0</v>
      </c>
      <c r="I983" s="1">
        <v>2022</v>
      </c>
      <c r="J983" s="1">
        <v>16</v>
      </c>
      <c r="K983" s="1">
        <v>3</v>
      </c>
      <c r="L983" s="1">
        <v>612</v>
      </c>
      <c r="M983" s="1">
        <v>627</v>
      </c>
      <c r="N983" s="1" t="s">
        <v>6</v>
      </c>
      <c r="O983" s="1" t="s">
        <v>6</v>
      </c>
      <c r="P983" s="1" t="s">
        <v>6</v>
      </c>
    </row>
    <row r="984" spans="1:16" ht="15.75" customHeight="1">
      <c r="A984" s="1" t="s">
        <v>0</v>
      </c>
      <c r="B984" s="1" t="s">
        <v>2195</v>
      </c>
      <c r="C984" s="1" t="s">
        <v>2196</v>
      </c>
      <c r="D984" s="1" t="s">
        <v>2197</v>
      </c>
      <c r="E984" s="1" t="s">
        <v>2198</v>
      </c>
      <c r="F984" s="1" t="s">
        <v>2199</v>
      </c>
      <c r="G984" s="1">
        <v>88</v>
      </c>
      <c r="H984" s="1">
        <v>0</v>
      </c>
      <c r="I984" s="1">
        <v>2022</v>
      </c>
      <c r="J984" s="1">
        <v>22</v>
      </c>
      <c r="K984" s="1">
        <v>2</v>
      </c>
      <c r="L984" s="1">
        <v>274</v>
      </c>
      <c r="M984" s="1">
        <v>296</v>
      </c>
      <c r="N984" s="1">
        <v>1.4687968211073134E+16</v>
      </c>
      <c r="O984" s="1" t="s">
        <v>2200</v>
      </c>
      <c r="P984" s="3" t="str">
        <f>HYPERLINK("http://dx.doi.org/10.1177/14687968211073134","http://dx.doi.org/10.1177/14687968211073134")</f>
        <v>http://dx.doi.org/10.1177/14687968211073134</v>
      </c>
    </row>
    <row r="985" spans="1:16" ht="15.75" customHeight="1">
      <c r="A985" s="1" t="s">
        <v>0</v>
      </c>
      <c r="B985" s="1" t="s">
        <v>286</v>
      </c>
      <c r="C985" s="1" t="s">
        <v>287</v>
      </c>
      <c r="D985" s="1" t="s">
        <v>288</v>
      </c>
      <c r="E985" s="1" t="s">
        <v>289</v>
      </c>
      <c r="F985" s="1" t="s">
        <v>290</v>
      </c>
      <c r="G985" s="1">
        <v>52</v>
      </c>
      <c r="H985" s="1">
        <v>0</v>
      </c>
      <c r="I985" s="1">
        <v>2022</v>
      </c>
      <c r="J985" s="1">
        <v>19</v>
      </c>
      <c r="K985" s="1">
        <v>2</v>
      </c>
      <c r="L985" s="1" t="s">
        <v>6</v>
      </c>
      <c r="M985" s="1" t="s">
        <v>6</v>
      </c>
      <c r="N985" s="1" t="s">
        <v>6</v>
      </c>
      <c r="O985" s="1" t="s">
        <v>291</v>
      </c>
      <c r="P985" s="3" t="str">
        <f>HYPERLINK("http://dx.doi.org/10.15517/c.a..v19i2.50668","http://dx.doi.org/10.15517/c.a..v19i2.50668")</f>
        <v>http://dx.doi.org/10.15517/c.a..v19i2.50668</v>
      </c>
    </row>
    <row r="986" spans="1:16" ht="15.75" customHeight="1">
      <c r="A986" s="1" t="s">
        <v>0</v>
      </c>
      <c r="B986" s="1" t="s">
        <v>4123</v>
      </c>
      <c r="C986" s="1" t="s">
        <v>4124</v>
      </c>
      <c r="D986" s="1" t="s">
        <v>2128</v>
      </c>
      <c r="E986" s="1" t="s">
        <v>4125</v>
      </c>
      <c r="F986" s="1" t="s">
        <v>4126</v>
      </c>
      <c r="G986" s="1">
        <v>67</v>
      </c>
      <c r="H986" s="1">
        <v>0</v>
      </c>
      <c r="I986" s="1">
        <v>2022</v>
      </c>
      <c r="J986" s="1">
        <v>49</v>
      </c>
      <c r="K986" s="1">
        <v>2</v>
      </c>
      <c r="L986" s="1">
        <v>33</v>
      </c>
      <c r="M986" s="1">
        <v>42</v>
      </c>
      <c r="N986" s="1" t="s">
        <v>6</v>
      </c>
      <c r="O986" s="1" t="s">
        <v>4127</v>
      </c>
      <c r="P986" s="3" t="str">
        <f>HYPERLINK("http://dx.doi.org/10.7764/R.492.2","http://dx.doi.org/10.7764/R.492.2")</f>
        <v>http://dx.doi.org/10.7764/R.492.2</v>
      </c>
    </row>
    <row r="987" spans="1:16" ht="15.75" customHeight="1">
      <c r="A987" s="1" t="s">
        <v>0</v>
      </c>
      <c r="B987" s="1" t="s">
        <v>2256</v>
      </c>
      <c r="C987" s="1" t="s">
        <v>2257</v>
      </c>
      <c r="D987" s="1" t="s">
        <v>2258</v>
      </c>
      <c r="E987" s="1" t="s">
        <v>2259</v>
      </c>
      <c r="F987" s="1" t="s">
        <v>2260</v>
      </c>
      <c r="G987" s="1">
        <v>34</v>
      </c>
      <c r="H987" s="1">
        <v>0</v>
      </c>
      <c r="I987" s="1">
        <v>2022</v>
      </c>
      <c r="K987" s="1" t="s">
        <v>2261</v>
      </c>
      <c r="O987" s="1" t="s">
        <v>2262</v>
      </c>
    </row>
    <row r="988" spans="1:16" ht="15.75" customHeight="1">
      <c r="A988" s="1" t="s">
        <v>0</v>
      </c>
      <c r="B988" s="1" t="s">
        <v>4611</v>
      </c>
      <c r="C988" s="1" t="s">
        <v>4612</v>
      </c>
      <c r="D988" s="1" t="s">
        <v>4613</v>
      </c>
      <c r="E988" s="1" t="s">
        <v>4614</v>
      </c>
      <c r="F988" s="1" t="s">
        <v>4615</v>
      </c>
      <c r="G988" s="1">
        <v>57</v>
      </c>
      <c r="H988" s="1">
        <v>0</v>
      </c>
      <c r="I988" s="1">
        <v>2022</v>
      </c>
      <c r="K988" s="1" t="s">
        <v>3618</v>
      </c>
    </row>
    <row r="989" spans="1:16" ht="15.75" customHeight="1">
      <c r="A989" s="1" t="s">
        <v>0</v>
      </c>
      <c r="B989" s="1" t="s">
        <v>700</v>
      </c>
      <c r="C989" s="1" t="s">
        <v>701</v>
      </c>
      <c r="D989" s="1" t="s">
        <v>702</v>
      </c>
      <c r="E989" s="1" t="s">
        <v>703</v>
      </c>
      <c r="F989" s="1" t="s">
        <v>704</v>
      </c>
      <c r="G989" s="1">
        <v>33</v>
      </c>
      <c r="H989" s="1">
        <v>0</v>
      </c>
      <c r="I989" s="1">
        <v>2022</v>
      </c>
      <c r="J989" s="1" t="s">
        <v>6</v>
      </c>
      <c r="K989" s="1">
        <v>47</v>
      </c>
      <c r="L989" s="1">
        <v>1</v>
      </c>
      <c r="M989" s="1">
        <v>19</v>
      </c>
      <c r="N989" s="1" t="s">
        <v>6</v>
      </c>
      <c r="O989" s="1" t="s">
        <v>705</v>
      </c>
      <c r="P989" s="3" t="str">
        <f>HYPERLINK("http://dx.doi.org/10.12804/revistas.urosario.edu.co/territorios/a.11101","http://dx.doi.org/10.12804/revistas.urosario.edu.co/territorios/a.11101")</f>
        <v>http://dx.doi.org/10.12804/revistas.urosario.edu.co/territorios/a.11101</v>
      </c>
    </row>
    <row r="990" spans="1:16" ht="15.75" customHeight="1">
      <c r="A990" s="1" t="s">
        <v>0</v>
      </c>
      <c r="B990" s="1" t="s">
        <v>1107</v>
      </c>
      <c r="C990" s="1" t="s">
        <v>1108</v>
      </c>
      <c r="D990" s="1" t="s">
        <v>201</v>
      </c>
      <c r="E990" s="1" t="s">
        <v>1109</v>
      </c>
      <c r="F990" s="1" t="s">
        <v>1110</v>
      </c>
      <c r="G990" s="1">
        <v>28</v>
      </c>
      <c r="H990" s="1">
        <v>0</v>
      </c>
      <c r="I990" s="1">
        <v>2022</v>
      </c>
      <c r="J990" s="1" t="s">
        <v>6</v>
      </c>
      <c r="K990" s="1">
        <v>68</v>
      </c>
      <c r="L990" s="1" t="s">
        <v>6</v>
      </c>
      <c r="M990" s="1" t="s">
        <v>6</v>
      </c>
      <c r="N990" s="1" t="s">
        <v>1111</v>
      </c>
      <c r="O990" s="1" t="s">
        <v>1112</v>
      </c>
      <c r="P990" s="3" t="str">
        <f>HYPERLINK("http://dx.doi.org/10.22199/issn.0718-1043-2022-0005","http://dx.doi.org/10.22199/issn.0718-1043-2022-0005")</f>
        <v>http://dx.doi.org/10.22199/issn.0718-1043-2022-0005</v>
      </c>
    </row>
    <row r="991" spans="1:16" ht="15.75" customHeight="1">
      <c r="A991" s="1" t="s">
        <v>0</v>
      </c>
      <c r="B991" s="1" t="s">
        <v>1101</v>
      </c>
      <c r="C991" s="1" t="s">
        <v>1102</v>
      </c>
      <c r="D991" s="1" t="s">
        <v>1103</v>
      </c>
      <c r="E991" s="1" t="s">
        <v>1104</v>
      </c>
      <c r="F991" s="1" t="s">
        <v>1105</v>
      </c>
      <c r="G991" s="1">
        <v>34</v>
      </c>
      <c r="H991" s="1">
        <v>0</v>
      </c>
      <c r="I991" s="1">
        <v>2022</v>
      </c>
      <c r="J991" s="1" t="s">
        <v>6</v>
      </c>
      <c r="K991" s="1" t="s">
        <v>6</v>
      </c>
      <c r="L991" s="1" t="s">
        <v>6</v>
      </c>
      <c r="M991" s="1" t="s">
        <v>6</v>
      </c>
      <c r="N991" s="1" t="s">
        <v>6</v>
      </c>
      <c r="O991" s="1" t="s">
        <v>1106</v>
      </c>
      <c r="P991" s="3" t="str">
        <f>HYPERLINK("http://dx.doi.org/10.1177/0094582X221124921","http://dx.doi.org/10.1177/0094582X221124921")</f>
        <v>http://dx.doi.org/10.1177/0094582X221124921</v>
      </c>
    </row>
    <row r="992" spans="1:16" ht="15.75" customHeight="1">
      <c r="A992" s="1" t="s">
        <v>0</v>
      </c>
      <c r="B992" s="1" t="s">
        <v>2281</v>
      </c>
      <c r="C992" s="1" t="s">
        <v>2282</v>
      </c>
      <c r="D992" s="1" t="s">
        <v>2283</v>
      </c>
      <c r="E992" s="1" t="s">
        <v>2284</v>
      </c>
      <c r="F992" s="1" t="s">
        <v>2285</v>
      </c>
      <c r="G992" s="1">
        <v>5</v>
      </c>
      <c r="H992" s="1">
        <v>0</v>
      </c>
      <c r="I992" s="1">
        <v>2022</v>
      </c>
      <c r="J992" s="1" t="s">
        <v>6</v>
      </c>
      <c r="K992" s="1">
        <v>19</v>
      </c>
      <c r="L992" s="1">
        <v>72</v>
      </c>
      <c r="M992" s="1">
        <v>80</v>
      </c>
      <c r="N992" s="1" t="s">
        <v>6</v>
      </c>
      <c r="O992" s="1" t="s">
        <v>2286</v>
      </c>
      <c r="P992" s="3" t="str">
        <f>HYPERLINK("http://dx.doi.org/10.7203/KAM.19.20312","http://dx.doi.org/10.7203/KAM.19.20312")</f>
        <v>http://dx.doi.org/10.7203/KAM.19.20312</v>
      </c>
    </row>
    <row r="993" spans="1:16" ht="15.75" customHeight="1">
      <c r="A993" s="1" t="s">
        <v>0</v>
      </c>
      <c r="B993" s="1" t="s">
        <v>1019</v>
      </c>
      <c r="C993" s="1" t="s">
        <v>1020</v>
      </c>
      <c r="D993" s="1" t="s">
        <v>1021</v>
      </c>
      <c r="E993" s="1" t="s">
        <v>1022</v>
      </c>
      <c r="F993" s="1" t="s">
        <v>1023</v>
      </c>
      <c r="G993" s="1">
        <v>35</v>
      </c>
      <c r="H993" s="1">
        <v>0</v>
      </c>
      <c r="I993" s="1">
        <v>2022</v>
      </c>
      <c r="J993" s="1" t="s">
        <v>6</v>
      </c>
      <c r="K993" s="1">
        <v>525</v>
      </c>
      <c r="L993" s="1">
        <v>11</v>
      </c>
      <c r="M993" s="1">
        <v>29</v>
      </c>
      <c r="N993" s="1" t="s">
        <v>6</v>
      </c>
      <c r="O993" s="1" t="s">
        <v>1024</v>
      </c>
      <c r="P993" s="3" t="str">
        <f>HYPERLINK("http://dx.doi.org/10.29393/At525-1JFMC10001","http://dx.doi.org/10.29393/At525-1JFMC10001")</f>
        <v>http://dx.doi.org/10.29393/At525-1JFMC10001</v>
      </c>
    </row>
    <row r="994" spans="1:16" ht="15.75" customHeight="1">
      <c r="A994" s="1" t="s">
        <v>0</v>
      </c>
      <c r="B994" s="1" t="s">
        <v>2627</v>
      </c>
      <c r="C994" s="1" t="s">
        <v>2628</v>
      </c>
      <c r="D994" s="1" t="s">
        <v>154</v>
      </c>
      <c r="E994" s="1" t="s">
        <v>2629</v>
      </c>
      <c r="F994" s="1" t="s">
        <v>2630</v>
      </c>
      <c r="G994" s="1">
        <v>41</v>
      </c>
      <c r="H994" s="1">
        <v>0</v>
      </c>
      <c r="I994" s="1">
        <v>2022</v>
      </c>
      <c r="J994" s="1">
        <v>37</v>
      </c>
      <c r="K994" s="1">
        <v>1</v>
      </c>
      <c r="L994" s="1">
        <v>183</v>
      </c>
      <c r="M994" s="1">
        <v>202</v>
      </c>
      <c r="N994" s="1" t="s">
        <v>6</v>
      </c>
      <c r="O994" s="1" t="s">
        <v>2631</v>
      </c>
      <c r="P994" s="3" t="str">
        <f>HYPERLINK("http://dx.doi.org/10.4067/S0718-23762022000100183","http://dx.doi.org/10.4067/S0718-23762022000100183")</f>
        <v>http://dx.doi.org/10.4067/S0718-23762022000100183</v>
      </c>
    </row>
    <row r="995" spans="1:16" ht="15.75" customHeight="1">
      <c r="A995" s="1" t="s">
        <v>0</v>
      </c>
      <c r="B995" s="1" t="s">
        <v>5346</v>
      </c>
      <c r="C995" s="1" t="s">
        <v>5347</v>
      </c>
      <c r="D995" s="2" t="s">
        <v>5348</v>
      </c>
      <c r="E995" s="1" t="s">
        <v>5349</v>
      </c>
      <c r="F995" s="1" t="s">
        <v>5350</v>
      </c>
      <c r="G995" s="1">
        <v>25</v>
      </c>
      <c r="H995" s="1">
        <v>0</v>
      </c>
      <c r="I995" s="1">
        <v>2022</v>
      </c>
      <c r="J995" s="1">
        <v>32</v>
      </c>
      <c r="K995" s="1" t="s">
        <v>61</v>
      </c>
      <c r="O995" s="1" t="s">
        <v>5351</v>
      </c>
    </row>
    <row r="996" spans="1:16" ht="15.75" customHeight="1">
      <c r="A996" s="1" t="s">
        <v>0</v>
      </c>
      <c r="B996" s="1" t="s">
        <v>2081</v>
      </c>
      <c r="C996" s="1" t="s">
        <v>2082</v>
      </c>
      <c r="D996" s="1" t="s">
        <v>1645</v>
      </c>
      <c r="E996" s="1" t="s">
        <v>2083</v>
      </c>
      <c r="F996" s="1" t="s">
        <v>2084</v>
      </c>
      <c r="G996" s="1">
        <v>47</v>
      </c>
      <c r="H996" s="1">
        <v>0</v>
      </c>
      <c r="I996" s="1">
        <v>2022</v>
      </c>
      <c r="J996" s="1">
        <v>107</v>
      </c>
      <c r="K996" s="1">
        <v>1</v>
      </c>
      <c r="L996" s="1">
        <v>89</v>
      </c>
      <c r="M996" s="1">
        <v>119</v>
      </c>
      <c r="N996" s="1" t="s">
        <v>6</v>
      </c>
      <c r="O996" s="1" t="s">
        <v>2085</v>
      </c>
      <c r="P996" s="3" t="str">
        <f>HYPERLINK("http://dx.doi.org/10.5565/rev/papers.2902","http://dx.doi.org/10.5565/rev/papers.2902")</f>
        <v>http://dx.doi.org/10.5565/rev/papers.2902</v>
      </c>
    </row>
    <row r="997" spans="1:16" ht="15.75" customHeight="1">
      <c r="A997" s="1" t="s">
        <v>0</v>
      </c>
      <c r="B997" s="1" t="s">
        <v>227</v>
      </c>
      <c r="C997" s="1" t="s">
        <v>228</v>
      </c>
      <c r="D997" s="1" t="s">
        <v>229</v>
      </c>
      <c r="E997" s="1" t="s">
        <v>230</v>
      </c>
      <c r="F997" s="1" t="s">
        <v>231</v>
      </c>
      <c r="G997" s="1">
        <v>57</v>
      </c>
      <c r="H997" s="1">
        <v>0</v>
      </c>
      <c r="I997" s="1">
        <v>2022</v>
      </c>
      <c r="J997" s="1">
        <v>54</v>
      </c>
      <c r="K997" s="1">
        <v>4</v>
      </c>
      <c r="L997" s="1">
        <v>545</v>
      </c>
      <c r="M997" s="1">
        <v>557</v>
      </c>
      <c r="N997" s="1" t="s">
        <v>232</v>
      </c>
      <c r="O997" s="1" t="s">
        <v>233</v>
      </c>
      <c r="P997" s="3" t="str">
        <f>HYPERLINK("http://dx.doi.org/10.1017/S0021932021000389","http://dx.doi.org/10.1017/S0021932021000389")</f>
        <v>http://dx.doi.org/10.1017/S0021932021000389</v>
      </c>
    </row>
    <row r="998" spans="1:16" ht="15.75" customHeight="1">
      <c r="A998" s="1" t="s">
        <v>0</v>
      </c>
      <c r="B998" s="1" t="s">
        <v>972</v>
      </c>
      <c r="C998" s="1" t="s">
        <v>973</v>
      </c>
      <c r="D998" s="1" t="s">
        <v>974</v>
      </c>
      <c r="E998" s="1" t="s">
        <v>975</v>
      </c>
      <c r="F998" s="1" t="s">
        <v>976</v>
      </c>
      <c r="G998" s="1">
        <v>44</v>
      </c>
      <c r="H998" s="1">
        <v>0</v>
      </c>
      <c r="I998" s="1">
        <v>2022</v>
      </c>
      <c r="J998" s="1">
        <v>19</v>
      </c>
      <c r="K998" s="1">
        <v>36</v>
      </c>
      <c r="L998" s="1">
        <v>207</v>
      </c>
      <c r="M998" s="1">
        <v>238</v>
      </c>
      <c r="N998" s="1" t="s">
        <v>6</v>
      </c>
      <c r="O998" s="1" t="s">
        <v>977</v>
      </c>
      <c r="P998" s="3" t="str">
        <f>HYPERLINK("http://dx.doi.org/10.17230/co-herencia.19.36.8","http://dx.doi.org/10.17230/co-herencia.19.36.8")</f>
        <v>http://dx.doi.org/10.17230/co-herencia.19.36.8</v>
      </c>
    </row>
    <row r="999" spans="1:16" ht="15.75" customHeight="1">
      <c r="A999" s="1" t="s">
        <v>0</v>
      </c>
      <c r="B999" s="1" t="s">
        <v>895</v>
      </c>
      <c r="C999" s="1" t="s">
        <v>896</v>
      </c>
      <c r="D999" s="1" t="s">
        <v>897</v>
      </c>
      <c r="G999" s="1">
        <v>14</v>
      </c>
      <c r="H999" s="1">
        <v>0</v>
      </c>
      <c r="I999" s="1">
        <v>2022</v>
      </c>
      <c r="J999" s="1">
        <v>67</v>
      </c>
      <c r="K999" s="1" t="s">
        <v>898</v>
      </c>
      <c r="O999" s="1" t="s">
        <v>899</v>
      </c>
    </row>
    <row r="1000" spans="1:16" ht="15.75" customHeight="1">
      <c r="A1000" s="1" t="s">
        <v>10</v>
      </c>
      <c r="B1000" s="1" t="s">
        <v>1765</v>
      </c>
      <c r="C1000" s="1" t="s">
        <v>1766</v>
      </c>
      <c r="D1000" s="1" t="s">
        <v>76</v>
      </c>
      <c r="F1000" s="1" t="s">
        <v>1767</v>
      </c>
      <c r="H1000" s="1">
        <v>0</v>
      </c>
      <c r="I1000" s="1">
        <v>2022</v>
      </c>
      <c r="J1000" s="1">
        <v>35</v>
      </c>
      <c r="K1000" s="1">
        <v>3</v>
      </c>
      <c r="O1000" s="1" t="s">
        <v>1768</v>
      </c>
    </row>
    <row r="1001" spans="1:16" ht="15.75" customHeight="1">
      <c r="A1001" s="1" t="s">
        <v>0</v>
      </c>
      <c r="B1001" s="1" t="s">
        <v>2235</v>
      </c>
      <c r="C1001" s="1" t="s">
        <v>2236</v>
      </c>
      <c r="D1001" s="1" t="s">
        <v>264</v>
      </c>
      <c r="E1001" s="1" t="s">
        <v>2237</v>
      </c>
      <c r="F1001" s="1" t="s">
        <v>2238</v>
      </c>
      <c r="G1001" s="1">
        <v>96</v>
      </c>
      <c r="H1001" s="1">
        <v>12</v>
      </c>
      <c r="I1001" s="1">
        <v>2023</v>
      </c>
      <c r="J1001" s="1">
        <v>49</v>
      </c>
      <c r="K1001" s="1">
        <v>10</v>
      </c>
      <c r="L1001" s="1">
        <v>2561</v>
      </c>
      <c r="M1001" s="1">
        <v>2581</v>
      </c>
      <c r="N1001" s="1" t="s">
        <v>6</v>
      </c>
      <c r="O1001" s="1" t="s">
        <v>2239</v>
      </c>
      <c r="P1001" s="3" t="str">
        <f>HYPERLINK("http://dx.doi.org/10.1080/1369183X.2023.2182714","http://dx.doi.org/10.1080/1369183X.2023.2182714")</f>
        <v>http://dx.doi.org/10.1080/1369183X.2023.2182714</v>
      </c>
    </row>
    <row r="1002" spans="1:16" ht="15.75" customHeight="1">
      <c r="A1002" s="1" t="s">
        <v>10</v>
      </c>
      <c r="B1002" s="1" t="s">
        <v>6452</v>
      </c>
      <c r="C1002" s="1" t="s">
        <v>6453</v>
      </c>
      <c r="D1002" s="1" t="s">
        <v>848</v>
      </c>
      <c r="E1002" s="1" t="s">
        <v>6454</v>
      </c>
      <c r="F1002" s="1" t="s">
        <v>6455</v>
      </c>
      <c r="H1002" s="1">
        <v>10</v>
      </c>
      <c r="I1002" s="1">
        <v>2023</v>
      </c>
      <c r="J1002" s="1">
        <v>133</v>
      </c>
      <c r="O1002" s="1" t="s">
        <v>6456</v>
      </c>
    </row>
    <row r="1003" spans="1:16" ht="15.75" customHeight="1">
      <c r="A1003" s="1" t="s">
        <v>0</v>
      </c>
      <c r="B1003" s="1" t="s">
        <v>262</v>
      </c>
      <c r="C1003" s="1" t="s">
        <v>263</v>
      </c>
      <c r="D1003" s="1" t="s">
        <v>264</v>
      </c>
      <c r="E1003" s="1" t="s">
        <v>265</v>
      </c>
      <c r="F1003" s="1" t="s">
        <v>266</v>
      </c>
      <c r="G1003" s="1">
        <v>71</v>
      </c>
      <c r="H1003" s="1">
        <v>8</v>
      </c>
      <c r="I1003" s="1">
        <v>2023</v>
      </c>
      <c r="J1003" s="1">
        <v>49</v>
      </c>
      <c r="K1003" s="1">
        <v>10</v>
      </c>
      <c r="L1003" s="1">
        <v>2541</v>
      </c>
      <c r="M1003" s="1">
        <v>2560</v>
      </c>
      <c r="N1003" s="1" t="s">
        <v>6</v>
      </c>
      <c r="O1003" s="1" t="s">
        <v>267</v>
      </c>
      <c r="P1003" s="3" t="str">
        <f>HYPERLINK("http://dx.doi.org/10.1080/1369183X.2023.2182713","http://dx.doi.org/10.1080/1369183X.2023.2182713")</f>
        <v>http://dx.doi.org/10.1080/1369183X.2023.2182713</v>
      </c>
    </row>
    <row r="1004" spans="1:16" ht="15.75" customHeight="1">
      <c r="A1004" s="1" t="s">
        <v>10</v>
      </c>
      <c r="B1004" s="1" t="s">
        <v>404</v>
      </c>
      <c r="C1004" s="1" t="s">
        <v>405</v>
      </c>
      <c r="D1004" s="1" t="s">
        <v>406</v>
      </c>
      <c r="E1004" s="1" t="s">
        <v>407</v>
      </c>
      <c r="F1004" s="1" t="s">
        <v>408</v>
      </c>
      <c r="H1004" s="1">
        <v>7</v>
      </c>
      <c r="I1004" s="1">
        <v>2023</v>
      </c>
      <c r="J1004" s="1">
        <v>17</v>
      </c>
      <c r="K1004" s="1">
        <v>1</v>
      </c>
      <c r="O1004" s="1" t="s">
        <v>409</v>
      </c>
    </row>
    <row r="1005" spans="1:16" ht="15.75" customHeight="1">
      <c r="A1005" s="1" t="s">
        <v>0</v>
      </c>
      <c r="B1005" s="1" t="s">
        <v>801</v>
      </c>
      <c r="C1005" s="1" t="s">
        <v>807</v>
      </c>
      <c r="D1005" s="1" t="s">
        <v>808</v>
      </c>
      <c r="E1005" s="1" t="s">
        <v>809</v>
      </c>
      <c r="F1005" s="1" t="s">
        <v>810</v>
      </c>
      <c r="G1005" s="1">
        <v>51</v>
      </c>
      <c r="H1005" s="1">
        <v>7</v>
      </c>
      <c r="I1005" s="1">
        <v>2023</v>
      </c>
      <c r="J1005" s="1">
        <v>18</v>
      </c>
      <c r="K1005" s="1">
        <v>2</v>
      </c>
      <c r="L1005" s="1">
        <v>227</v>
      </c>
      <c r="M1005" s="1">
        <v>243</v>
      </c>
      <c r="N1005" s="1" t="s">
        <v>6</v>
      </c>
      <c r="O1005" s="1" t="s">
        <v>811</v>
      </c>
      <c r="P1005" s="3" t="str">
        <f>HYPERLINK("http://dx.doi.org/10.1080/17442222.2022.2099170","http://dx.doi.org/10.1080/17442222.2022.2099170")</f>
        <v>http://dx.doi.org/10.1080/17442222.2022.2099170</v>
      </c>
    </row>
    <row r="1006" spans="1:16" ht="15.75" customHeight="1">
      <c r="A1006" s="1" t="s">
        <v>10</v>
      </c>
      <c r="B1006" s="1" t="s">
        <v>1402</v>
      </c>
      <c r="C1006" s="1" t="s">
        <v>1403</v>
      </c>
      <c r="D1006" s="1" t="s">
        <v>1404</v>
      </c>
      <c r="E1006" s="1" t="s">
        <v>1405</v>
      </c>
      <c r="F1006" s="1" t="s">
        <v>1406</v>
      </c>
      <c r="H1006" s="1">
        <v>6</v>
      </c>
      <c r="I1006" s="1">
        <v>2023</v>
      </c>
      <c r="J1006" s="1">
        <v>12</v>
      </c>
      <c r="K1006" s="1">
        <v>2</v>
      </c>
      <c r="O1006" s="1" t="s">
        <v>1407</v>
      </c>
    </row>
    <row r="1007" spans="1:16" ht="15.75" customHeight="1">
      <c r="A1007" s="1" t="s">
        <v>0</v>
      </c>
      <c r="B1007" s="1" t="s">
        <v>1780</v>
      </c>
      <c r="C1007" s="1" t="s">
        <v>1781</v>
      </c>
      <c r="D1007" s="1" t="s">
        <v>1782</v>
      </c>
      <c r="E1007" s="1" t="s">
        <v>1783</v>
      </c>
      <c r="F1007" s="1" t="s">
        <v>1784</v>
      </c>
      <c r="G1007" s="1">
        <v>68</v>
      </c>
      <c r="H1007" s="1">
        <v>6</v>
      </c>
      <c r="I1007" s="1">
        <v>2023</v>
      </c>
      <c r="J1007" s="1">
        <v>22</v>
      </c>
      <c r="K1007" s="1">
        <v>1</v>
      </c>
      <c r="L1007" s="1">
        <v>119</v>
      </c>
      <c r="M1007" s="1">
        <v>142</v>
      </c>
      <c r="N1007" s="1" t="s">
        <v>6</v>
      </c>
      <c r="O1007" s="1" t="s">
        <v>1785</v>
      </c>
      <c r="P1007" s="3" t="str">
        <f>HYPERLINK("http://dx.doi.org/10.1057/s41304-022-00403-8","http://dx.doi.org/10.1057/s41304-022-00403-8")</f>
        <v>http://dx.doi.org/10.1057/s41304-022-00403-8</v>
      </c>
    </row>
    <row r="1008" spans="1:16" ht="15.75" customHeight="1">
      <c r="A1008" s="1" t="s">
        <v>0</v>
      </c>
      <c r="B1008" s="1" t="s">
        <v>2190</v>
      </c>
      <c r="C1008" s="1" t="s">
        <v>2191</v>
      </c>
      <c r="D1008" s="1" t="s">
        <v>264</v>
      </c>
      <c r="E1008" s="1" t="s">
        <v>2192</v>
      </c>
      <c r="F1008" s="1" t="s">
        <v>2193</v>
      </c>
      <c r="G1008" s="1">
        <v>72</v>
      </c>
      <c r="H1008" s="1">
        <v>5</v>
      </c>
      <c r="I1008" s="1">
        <v>2023</v>
      </c>
      <c r="J1008" s="1">
        <v>49</v>
      </c>
      <c r="K1008" s="1">
        <v>7</v>
      </c>
      <c r="L1008" s="1">
        <v>1881</v>
      </c>
      <c r="M1008" s="1">
        <v>1897</v>
      </c>
      <c r="N1008" s="1" t="s">
        <v>6</v>
      </c>
      <c r="O1008" s="1" t="s">
        <v>2194</v>
      </c>
      <c r="P1008" s="3" t="str">
        <f>HYPERLINK("http://dx.doi.org/10.1080/1369183X.2021.1951688","http://dx.doi.org/10.1080/1369183X.2021.1951688")</f>
        <v>http://dx.doi.org/10.1080/1369183X.2021.1951688</v>
      </c>
    </row>
    <row r="1009" spans="1:16" ht="15.75" customHeight="1">
      <c r="A1009" s="1" t="s">
        <v>0</v>
      </c>
      <c r="B1009" s="1" t="s">
        <v>5945</v>
      </c>
      <c r="C1009" s="1" t="s">
        <v>5946</v>
      </c>
      <c r="D1009" s="1" t="s">
        <v>5947</v>
      </c>
      <c r="E1009" s="1" t="s">
        <v>5948</v>
      </c>
      <c r="F1009" s="1" t="s">
        <v>5949</v>
      </c>
      <c r="G1009" s="1">
        <v>59</v>
      </c>
      <c r="H1009" s="1">
        <v>4</v>
      </c>
      <c r="I1009" s="1">
        <v>2023</v>
      </c>
      <c r="J1009" s="1">
        <v>75</v>
      </c>
      <c r="K1009" s="1">
        <v>2</v>
      </c>
      <c r="L1009" s="1">
        <v>305</v>
      </c>
      <c r="M1009" s="1">
        <v>315</v>
      </c>
      <c r="N1009" s="1" t="s">
        <v>6</v>
      </c>
      <c r="O1009" s="1" t="s">
        <v>5950</v>
      </c>
      <c r="P1009" s="3" t="str">
        <f>HYPERLINK("http://dx.doi.org/10.1080/00330124.2021.2014907","http://dx.doi.org/10.1080/00330124.2021.2014907")</f>
        <v>http://dx.doi.org/10.1080/00330124.2021.2014907</v>
      </c>
    </row>
    <row r="1010" spans="1:16" ht="15.75" customHeight="1">
      <c r="A1010" s="1" t="s">
        <v>0</v>
      </c>
      <c r="B1010" s="1" t="s">
        <v>2364</v>
      </c>
      <c r="C1010" s="1" t="s">
        <v>2365</v>
      </c>
      <c r="D1010" s="1" t="s">
        <v>2366</v>
      </c>
      <c r="E1010" s="1" t="s">
        <v>2367</v>
      </c>
      <c r="F1010" s="1" t="s">
        <v>2368</v>
      </c>
      <c r="G1010" s="1">
        <v>43</v>
      </c>
      <c r="H1010" s="1">
        <v>4</v>
      </c>
      <c r="I1010" s="1">
        <v>2023</v>
      </c>
      <c r="J1010" s="1">
        <v>34</v>
      </c>
      <c r="K1010" s="1">
        <v>2</v>
      </c>
      <c r="L1010" s="1">
        <v>234</v>
      </c>
      <c r="M1010" s="1">
        <v>259</v>
      </c>
      <c r="N1010" s="1" t="s">
        <v>6</v>
      </c>
      <c r="O1010" s="1" t="s">
        <v>2369</v>
      </c>
      <c r="P1010" s="3" t="str">
        <f>HYPERLINK("http://dx.doi.org/10.1080/02757206.2020.1862106","http://dx.doi.org/10.1080/02757206.2020.1862106")</f>
        <v>http://dx.doi.org/10.1080/02757206.2020.1862106</v>
      </c>
    </row>
    <row r="1011" spans="1:16" ht="15.75" customHeight="1">
      <c r="A1011" s="1" t="s">
        <v>0</v>
      </c>
      <c r="B1011" s="1" t="s">
        <v>6350</v>
      </c>
      <c r="C1011" s="1" t="s">
        <v>6354</v>
      </c>
      <c r="D1011" s="1" t="s">
        <v>3911</v>
      </c>
      <c r="E1011" s="1" t="s">
        <v>6355</v>
      </c>
      <c r="F1011" s="1" t="s">
        <v>6356</v>
      </c>
      <c r="G1011" s="1">
        <v>92</v>
      </c>
      <c r="H1011" s="1">
        <v>4</v>
      </c>
      <c r="I1011" s="1">
        <v>2023</v>
      </c>
      <c r="J1011" s="1">
        <v>38</v>
      </c>
      <c r="K1011" s="1">
        <v>3</v>
      </c>
      <c r="L1011" s="1">
        <v>441</v>
      </c>
      <c r="M1011" s="1">
        <v>459</v>
      </c>
      <c r="N1011" s="1" t="s">
        <v>6</v>
      </c>
      <c r="O1011" s="1" t="s">
        <v>6357</v>
      </c>
      <c r="P1011" s="3" t="str">
        <f>HYPERLINK("http://dx.doi.org/10.1080/08865655.2021.1948897","http://dx.doi.org/10.1080/08865655.2021.1948897")</f>
        <v>http://dx.doi.org/10.1080/08865655.2021.1948897</v>
      </c>
    </row>
    <row r="1012" spans="1:16" ht="15.75" customHeight="1">
      <c r="A1012" s="1" t="s">
        <v>10</v>
      </c>
      <c r="B1012" s="1" t="s">
        <v>6961</v>
      </c>
      <c r="C1012" s="1" t="s">
        <v>6962</v>
      </c>
      <c r="D1012" s="1" t="s">
        <v>2797</v>
      </c>
      <c r="E1012" s="1" t="s">
        <v>6963</v>
      </c>
      <c r="F1012" s="1" t="s">
        <v>6964</v>
      </c>
      <c r="H1012" s="1">
        <v>4</v>
      </c>
      <c r="I1012" s="1">
        <v>2023</v>
      </c>
      <c r="J1012" s="1">
        <v>29</v>
      </c>
      <c r="K1012" s="1">
        <v>1</v>
      </c>
      <c r="O1012" s="1" t="s">
        <v>6965</v>
      </c>
    </row>
    <row r="1013" spans="1:16" ht="15.75" customHeight="1">
      <c r="A1013" s="1" t="s">
        <v>0</v>
      </c>
      <c r="B1013" s="1" t="s">
        <v>1177</v>
      </c>
      <c r="C1013" s="1" t="s">
        <v>1178</v>
      </c>
      <c r="D1013" s="1" t="s">
        <v>1179</v>
      </c>
      <c r="E1013" s="1" t="s">
        <v>1180</v>
      </c>
      <c r="F1013" s="1" t="s">
        <v>1181</v>
      </c>
      <c r="G1013" s="1">
        <v>78</v>
      </c>
      <c r="H1013" s="1">
        <v>4</v>
      </c>
      <c r="I1013" s="1">
        <v>2023</v>
      </c>
      <c r="J1013" s="1">
        <v>7</v>
      </c>
      <c r="K1013" s="1" t="s">
        <v>6</v>
      </c>
      <c r="L1013" s="1" t="s">
        <v>6</v>
      </c>
      <c r="M1013" s="1" t="s">
        <v>6</v>
      </c>
      <c r="N1013" s="1">
        <v>1009567</v>
      </c>
      <c r="O1013" s="1" t="s">
        <v>1182</v>
      </c>
      <c r="P1013" s="3" t="str">
        <f>HYPERLINK("http://dx.doi.org/10.3389/fsoc.2022.1009567","http://dx.doi.org/10.3389/fsoc.2022.1009567")</f>
        <v>http://dx.doi.org/10.3389/fsoc.2022.1009567</v>
      </c>
    </row>
    <row r="1014" spans="1:16" ht="15.75" customHeight="1">
      <c r="A1014" s="1" t="s">
        <v>0</v>
      </c>
      <c r="B1014" s="1" t="s">
        <v>1144</v>
      </c>
      <c r="C1014" s="1" t="s">
        <v>1145</v>
      </c>
      <c r="D1014" s="1" t="s">
        <v>1146</v>
      </c>
      <c r="E1014" s="1" t="s">
        <v>1147</v>
      </c>
      <c r="F1014" s="1" t="s">
        <v>1148</v>
      </c>
      <c r="G1014" s="1">
        <v>107</v>
      </c>
      <c r="H1014" s="1">
        <v>4</v>
      </c>
      <c r="I1014" s="1">
        <v>2023</v>
      </c>
      <c r="J1014" s="1">
        <v>14</v>
      </c>
      <c r="K1014" s="1" t="s">
        <v>6</v>
      </c>
      <c r="L1014" s="1" t="s">
        <v>6</v>
      </c>
      <c r="M1014" s="1" t="s">
        <v>6</v>
      </c>
      <c r="N1014" s="1">
        <v>1122362</v>
      </c>
      <c r="O1014" s="1" t="s">
        <v>1149</v>
      </c>
      <c r="P1014" s="3" t="str">
        <f>HYPERLINK("http://dx.doi.org/10.3389/fpsyg.2023.1122362","http://dx.doi.org/10.3389/fpsyg.2023.1122362")</f>
        <v>http://dx.doi.org/10.3389/fpsyg.2023.1122362</v>
      </c>
    </row>
    <row r="1015" spans="1:16" ht="15.75" customHeight="1">
      <c r="A1015" s="1" t="s">
        <v>0</v>
      </c>
      <c r="B1015" s="1" t="s">
        <v>7053</v>
      </c>
      <c r="C1015" s="1" t="s">
        <v>7054</v>
      </c>
      <c r="D1015" s="1" t="s">
        <v>1904</v>
      </c>
      <c r="E1015" s="1" t="s">
        <v>7055</v>
      </c>
      <c r="F1015" s="1" t="s">
        <v>7056</v>
      </c>
      <c r="G1015" s="1">
        <v>59</v>
      </c>
      <c r="H1015" s="1">
        <v>4</v>
      </c>
      <c r="I1015" s="1">
        <v>2023</v>
      </c>
      <c r="J1015" s="1">
        <v>21</v>
      </c>
      <c r="K1015" s="1">
        <v>3</v>
      </c>
      <c r="L1015" s="1">
        <v>335</v>
      </c>
      <c r="M1015" s="1">
        <v>348</v>
      </c>
      <c r="N1015" s="1" t="s">
        <v>6</v>
      </c>
      <c r="O1015" s="1" t="s">
        <v>7057</v>
      </c>
      <c r="P1015" s="3" t="str">
        <f>HYPERLINK("http://dx.doi.org/10.1080/15562948.2021.1980642","http://dx.doi.org/10.1080/15562948.2021.1980642")</f>
        <v>http://dx.doi.org/10.1080/15562948.2021.1980642</v>
      </c>
    </row>
    <row r="1016" spans="1:16" ht="15.75" customHeight="1">
      <c r="A1016" s="1" t="s">
        <v>0</v>
      </c>
      <c r="B1016" s="1" t="s">
        <v>4721</v>
      </c>
      <c r="C1016" s="1" t="s">
        <v>4722</v>
      </c>
      <c r="D1016" s="1" t="s">
        <v>4723</v>
      </c>
      <c r="E1016" s="1" t="s">
        <v>4724</v>
      </c>
      <c r="F1016" s="1" t="s">
        <v>4725</v>
      </c>
      <c r="G1016" s="1">
        <v>118</v>
      </c>
      <c r="H1016" s="1">
        <v>3</v>
      </c>
      <c r="I1016" s="1">
        <v>2023</v>
      </c>
      <c r="J1016" s="1">
        <v>72</v>
      </c>
      <c r="K1016" s="1">
        <v>2</v>
      </c>
      <c r="L1016" s="1">
        <v>389</v>
      </c>
      <c r="M1016" s="1">
        <v>405</v>
      </c>
      <c r="N1016" s="1" t="s">
        <v>6</v>
      </c>
      <c r="O1016" s="1" t="s">
        <v>4726</v>
      </c>
      <c r="P1016" s="3" t="str">
        <f>HYPERLINK("http://dx.doi.org/10.1111/fare.12865","http://dx.doi.org/10.1111/fare.12865")</f>
        <v>http://dx.doi.org/10.1111/fare.12865</v>
      </c>
    </row>
    <row r="1017" spans="1:16" ht="15.75" customHeight="1">
      <c r="A1017" s="1" t="s">
        <v>10</v>
      </c>
      <c r="B1017" s="1" t="s">
        <v>5341</v>
      </c>
      <c r="C1017" s="1" t="s">
        <v>5342</v>
      </c>
      <c r="D1017" s="1" t="s">
        <v>3905</v>
      </c>
      <c r="E1017" s="1" t="s">
        <v>5343</v>
      </c>
      <c r="F1017" s="1" t="s">
        <v>5344</v>
      </c>
      <c r="H1017" s="1">
        <v>3</v>
      </c>
      <c r="I1017" s="1">
        <v>2023</v>
      </c>
      <c r="J1017" s="1">
        <v>6</v>
      </c>
      <c r="K1017" s="1">
        <v>1</v>
      </c>
      <c r="O1017" s="1" t="s">
        <v>5345</v>
      </c>
    </row>
    <row r="1018" spans="1:16" ht="15.75" customHeight="1">
      <c r="A1018" s="1" t="s">
        <v>0</v>
      </c>
      <c r="B1018" s="1" t="s">
        <v>866</v>
      </c>
      <c r="C1018" s="1" t="s">
        <v>867</v>
      </c>
      <c r="D1018" s="1" t="s">
        <v>264</v>
      </c>
      <c r="E1018" s="1" t="s">
        <v>868</v>
      </c>
      <c r="F1018" s="1" t="s">
        <v>869</v>
      </c>
      <c r="G1018" s="1">
        <v>45</v>
      </c>
      <c r="H1018" s="1">
        <v>3</v>
      </c>
      <c r="I1018" s="1">
        <v>2023</v>
      </c>
      <c r="J1018" s="1">
        <v>49</v>
      </c>
      <c r="K1018" s="1">
        <v>3</v>
      </c>
      <c r="L1018" s="1">
        <v>892</v>
      </c>
      <c r="M1018" s="1">
        <v>908</v>
      </c>
      <c r="N1018" s="1" t="s">
        <v>6</v>
      </c>
      <c r="O1018" s="1" t="s">
        <v>870</v>
      </c>
      <c r="P1018" s="3" t="str">
        <f>HYPERLINK("http://dx.doi.org/10.1080/1369183X.2020.1814711","http://dx.doi.org/10.1080/1369183X.2020.1814711")</f>
        <v>http://dx.doi.org/10.1080/1369183X.2020.1814711</v>
      </c>
    </row>
    <row r="1019" spans="1:16" ht="15.75" customHeight="1">
      <c r="A1019" s="1" t="s">
        <v>0</v>
      </c>
      <c r="B1019" s="1" t="s">
        <v>4727</v>
      </c>
      <c r="C1019" s="1" t="s">
        <v>4728</v>
      </c>
      <c r="D1019" s="1" t="s">
        <v>4729</v>
      </c>
      <c r="E1019" s="1" t="s">
        <v>4730</v>
      </c>
      <c r="F1019" s="1" t="s">
        <v>4731</v>
      </c>
      <c r="G1019" s="1">
        <v>50</v>
      </c>
      <c r="H1019" s="1">
        <v>3</v>
      </c>
      <c r="I1019" s="1">
        <v>2023</v>
      </c>
      <c r="J1019" s="1">
        <v>32</v>
      </c>
      <c r="K1019" s="1" t="s">
        <v>6</v>
      </c>
      <c r="L1019" s="1" t="s">
        <v>6</v>
      </c>
      <c r="M1019" s="1" t="s">
        <v>6</v>
      </c>
      <c r="N1019" s="1">
        <v>100418</v>
      </c>
      <c r="O1019" s="1" t="s">
        <v>4732</v>
      </c>
      <c r="P1019" s="3" t="str">
        <f>HYPERLINK("http://dx.doi.org/10.1016/j.jhlste.2023.100418","http://dx.doi.org/10.1016/j.jhlste.2023.100418")</f>
        <v>http://dx.doi.org/10.1016/j.jhlste.2023.100418</v>
      </c>
    </row>
    <row r="1020" spans="1:16" ht="15.75" customHeight="1">
      <c r="A1020" s="1" t="s">
        <v>0</v>
      </c>
      <c r="B1020" s="1" t="s">
        <v>5674</v>
      </c>
      <c r="C1020" s="1" t="s">
        <v>5675</v>
      </c>
      <c r="D1020" s="1" t="s">
        <v>5676</v>
      </c>
      <c r="E1020" s="1" t="s">
        <v>5677</v>
      </c>
      <c r="F1020" s="1" t="s">
        <v>5678</v>
      </c>
      <c r="G1020" s="1">
        <v>111</v>
      </c>
      <c r="H1020" s="1">
        <v>3</v>
      </c>
      <c r="I1020" s="1">
        <v>2023</v>
      </c>
      <c r="J1020" s="1">
        <v>105</v>
      </c>
      <c r="K1020" s="1">
        <v>1</v>
      </c>
      <c r="L1020" s="1">
        <v>58</v>
      </c>
      <c r="M1020" s="1">
        <v>78</v>
      </c>
      <c r="N1020" s="1" t="s">
        <v>6</v>
      </c>
      <c r="O1020" s="1" t="s">
        <v>5679</v>
      </c>
      <c r="P1020" s="3" t="str">
        <f>HYPERLINK("http://dx.doi.org/10.1080/04353684.2022.2082312","http://dx.doi.org/10.1080/04353684.2022.2082312")</f>
        <v>http://dx.doi.org/10.1080/04353684.2022.2082312</v>
      </c>
    </row>
    <row r="1021" spans="1:16" ht="15.75" customHeight="1">
      <c r="A1021" s="1" t="s">
        <v>0</v>
      </c>
      <c r="B1021" s="1" t="s">
        <v>1</v>
      </c>
      <c r="C1021" s="2" t="s">
        <v>14</v>
      </c>
      <c r="D1021" s="1" t="s">
        <v>15</v>
      </c>
      <c r="E1021" s="1" t="s">
        <v>16</v>
      </c>
      <c r="F1021" s="1" t="s">
        <v>17</v>
      </c>
      <c r="G1021" s="1">
        <v>76</v>
      </c>
      <c r="H1021" s="1">
        <v>3</v>
      </c>
      <c r="I1021" s="1">
        <v>2023</v>
      </c>
      <c r="J1021" s="1" t="s">
        <v>6</v>
      </c>
      <c r="K1021" s="1" t="s">
        <v>6</v>
      </c>
      <c r="L1021" s="1" t="s">
        <v>6</v>
      </c>
      <c r="M1021" s="1" t="s">
        <v>6</v>
      </c>
      <c r="N1021" s="1" t="s">
        <v>6</v>
      </c>
      <c r="O1021" s="1" t="s">
        <v>18</v>
      </c>
      <c r="P1021" s="3" t="str">
        <f>HYPERLINK("http://dx.doi.org/10.1177/01622439231167665","http://dx.doi.org/10.1177/01622439231167665")</f>
        <v>http://dx.doi.org/10.1177/01622439231167665</v>
      </c>
    </row>
    <row r="1022" spans="1:16" ht="15.75" customHeight="1">
      <c r="A1022" s="1" t="s">
        <v>0</v>
      </c>
      <c r="B1022" s="1" t="s">
        <v>6611</v>
      </c>
      <c r="C1022" s="1" t="s">
        <v>6612</v>
      </c>
      <c r="D1022" s="1" t="s">
        <v>3209</v>
      </c>
      <c r="E1022" s="1" t="s">
        <v>6613</v>
      </c>
      <c r="F1022" s="1" t="s">
        <v>6614</v>
      </c>
      <c r="G1022" s="1">
        <v>69</v>
      </c>
      <c r="H1022" s="1">
        <v>3</v>
      </c>
      <c r="I1022" s="1">
        <v>2023</v>
      </c>
      <c r="J1022" s="1">
        <v>11</v>
      </c>
      <c r="K1022" s="1">
        <v>4</v>
      </c>
      <c r="L1022" s="1" t="s">
        <v>6</v>
      </c>
      <c r="M1022" s="1" t="s">
        <v>6</v>
      </c>
      <c r="N1022" s="1">
        <v>503</v>
      </c>
      <c r="O1022" s="1" t="s">
        <v>6615</v>
      </c>
      <c r="P1022" s="3" t="str">
        <f>HYPERLINK("http://dx.doi.org/10.3390/healthcare11040503","http://dx.doi.org/10.3390/healthcare11040503")</f>
        <v>http://dx.doi.org/10.3390/healthcare11040503</v>
      </c>
    </row>
    <row r="1023" spans="1:16" ht="15.75" customHeight="1">
      <c r="A1023" s="1" t="s">
        <v>0</v>
      </c>
      <c r="B1023" s="1" t="s">
        <v>2861</v>
      </c>
      <c r="C1023" s="1" t="s">
        <v>2866</v>
      </c>
      <c r="D1023" s="1" t="s">
        <v>1325</v>
      </c>
      <c r="E1023" s="1" t="s">
        <v>2867</v>
      </c>
      <c r="F1023" s="1" t="s">
        <v>2868</v>
      </c>
      <c r="G1023" s="1">
        <v>109</v>
      </c>
      <c r="H1023" s="1">
        <v>3</v>
      </c>
      <c r="I1023" s="1">
        <v>2023</v>
      </c>
      <c r="J1023" s="1">
        <v>24</v>
      </c>
      <c r="K1023" s="1">
        <v>3</v>
      </c>
      <c r="L1023" s="1">
        <v>1113</v>
      </c>
      <c r="M1023" s="1">
        <v>1135</v>
      </c>
      <c r="N1023" s="1" t="s">
        <v>6</v>
      </c>
      <c r="O1023" s="1" t="s">
        <v>2869</v>
      </c>
      <c r="P1023" s="3" t="str">
        <f>HYPERLINK("http://dx.doi.org/10.1007/s12134-022-00996-5","http://dx.doi.org/10.1007/s12134-022-00996-5")</f>
        <v>http://dx.doi.org/10.1007/s12134-022-00996-5</v>
      </c>
    </row>
    <row r="1024" spans="1:16" ht="15.75" customHeight="1">
      <c r="A1024" s="1" t="s">
        <v>10</v>
      </c>
      <c r="B1024" s="1" t="s">
        <v>6912</v>
      </c>
      <c r="C1024" s="1" t="s">
        <v>6913</v>
      </c>
      <c r="D1024" s="1" t="s">
        <v>760</v>
      </c>
      <c r="F1024" s="1" t="s">
        <v>6914</v>
      </c>
      <c r="H1024" s="1">
        <v>3</v>
      </c>
      <c r="I1024" s="1">
        <v>2023</v>
      </c>
      <c r="J1024" s="1">
        <v>49</v>
      </c>
      <c r="K1024" s="1">
        <v>10</v>
      </c>
      <c r="O1024" s="1" t="s">
        <v>6915</v>
      </c>
    </row>
    <row r="1025" spans="1:16" ht="15.75" customHeight="1">
      <c r="A1025" s="1" t="s">
        <v>10</v>
      </c>
      <c r="B1025" s="1" t="s">
        <v>2823</v>
      </c>
      <c r="C1025" s="1" t="s">
        <v>2824</v>
      </c>
      <c r="D1025" s="1" t="s">
        <v>2825</v>
      </c>
      <c r="E1025" s="1" t="s">
        <v>2826</v>
      </c>
      <c r="F1025" s="1" t="s">
        <v>2827</v>
      </c>
      <c r="H1025" s="1">
        <v>2</v>
      </c>
      <c r="I1025" s="1">
        <v>2023</v>
      </c>
      <c r="J1025" s="1">
        <v>44</v>
      </c>
      <c r="K1025" s="1">
        <v>2</v>
      </c>
      <c r="O1025" s="1" t="s">
        <v>2828</v>
      </c>
    </row>
    <row r="1026" spans="1:16" ht="15.75" customHeight="1">
      <c r="A1026" s="1" t="s">
        <v>0</v>
      </c>
      <c r="B1026" s="1" t="s">
        <v>6542</v>
      </c>
      <c r="C1026" s="1" t="s">
        <v>6543</v>
      </c>
      <c r="D1026" s="1" t="s">
        <v>639</v>
      </c>
      <c r="E1026" s="1" t="s">
        <v>6544</v>
      </c>
      <c r="F1026" s="1" t="s">
        <v>6545</v>
      </c>
      <c r="G1026" s="1">
        <v>94</v>
      </c>
      <c r="H1026" s="1">
        <v>2</v>
      </c>
      <c r="I1026" s="1">
        <v>2023</v>
      </c>
      <c r="K1026" s="1" t="s">
        <v>6546</v>
      </c>
      <c r="O1026" s="1" t="s">
        <v>6547</v>
      </c>
    </row>
    <row r="1027" spans="1:16" ht="15.75" customHeight="1">
      <c r="A1027" s="1" t="s">
        <v>10</v>
      </c>
      <c r="B1027" s="1" t="s">
        <v>4167</v>
      </c>
      <c r="C1027" s="1" t="s">
        <v>4168</v>
      </c>
      <c r="D1027" s="1" t="s">
        <v>4169</v>
      </c>
      <c r="E1027" s="1" t="s">
        <v>4170</v>
      </c>
      <c r="F1027" s="1" t="s">
        <v>4171</v>
      </c>
      <c r="H1027" s="1">
        <v>2</v>
      </c>
      <c r="I1027" s="1">
        <v>2023</v>
      </c>
      <c r="J1027" s="1">
        <v>5</v>
      </c>
      <c r="O1027" s="1" t="s">
        <v>4172</v>
      </c>
    </row>
    <row r="1028" spans="1:16" ht="15.75" customHeight="1">
      <c r="A1028" s="1" t="s">
        <v>10</v>
      </c>
      <c r="B1028" s="1" t="s">
        <v>6121</v>
      </c>
      <c r="C1028" s="1" t="s">
        <v>6122</v>
      </c>
      <c r="D1028" s="1" t="s">
        <v>3957</v>
      </c>
      <c r="E1028" s="1" t="s">
        <v>6123</v>
      </c>
      <c r="F1028" s="1" t="s">
        <v>6124</v>
      </c>
      <c r="H1028" s="1">
        <v>2</v>
      </c>
      <c r="I1028" s="1">
        <v>2023</v>
      </c>
      <c r="J1028" s="1">
        <v>44</v>
      </c>
      <c r="K1028" s="1">
        <v>3</v>
      </c>
      <c r="O1028" s="1" t="s">
        <v>6125</v>
      </c>
    </row>
    <row r="1029" spans="1:16" ht="15.75" customHeight="1">
      <c r="A1029" s="1" t="s">
        <v>10</v>
      </c>
      <c r="B1029" s="1" t="s">
        <v>3580</v>
      </c>
      <c r="C1029" s="1" t="s">
        <v>3581</v>
      </c>
      <c r="D1029" s="1" t="s">
        <v>858</v>
      </c>
      <c r="E1029" s="1" t="s">
        <v>3582</v>
      </c>
      <c r="F1029" s="1" t="s">
        <v>3583</v>
      </c>
      <c r="H1029" s="1">
        <v>2</v>
      </c>
      <c r="I1029" s="1">
        <v>2023</v>
      </c>
      <c r="J1029" s="1">
        <v>42</v>
      </c>
      <c r="K1029" s="1">
        <v>2</v>
      </c>
      <c r="O1029" s="1" t="s">
        <v>3584</v>
      </c>
    </row>
    <row r="1030" spans="1:16" ht="15.75" customHeight="1">
      <c r="A1030" s="1" t="s">
        <v>0</v>
      </c>
      <c r="B1030" s="1" t="s">
        <v>1338</v>
      </c>
      <c r="C1030" s="1" t="s">
        <v>1339</v>
      </c>
      <c r="D1030" s="1" t="s">
        <v>1340</v>
      </c>
      <c r="E1030" s="1" t="s">
        <v>1341</v>
      </c>
      <c r="F1030" s="1" t="s">
        <v>1342</v>
      </c>
      <c r="G1030" s="1">
        <v>32</v>
      </c>
      <c r="H1030" s="1">
        <v>2</v>
      </c>
      <c r="I1030" s="1">
        <v>2023</v>
      </c>
      <c r="J1030" s="1">
        <v>49</v>
      </c>
      <c r="K1030" s="1" t="s">
        <v>1343</v>
      </c>
      <c r="L1030" s="1">
        <v>707</v>
      </c>
      <c r="M1030" s="1">
        <v>723</v>
      </c>
      <c r="N1030" s="1">
        <v>8969205221100268</v>
      </c>
      <c r="O1030" s="1" t="s">
        <v>1344</v>
      </c>
      <c r="P1030" s="3" t="str">
        <f>HYPERLINK("http://dx.doi.org/10.1177/08969205221100268","http://dx.doi.org/10.1177/08969205221100268")</f>
        <v>http://dx.doi.org/10.1177/08969205221100268</v>
      </c>
    </row>
    <row r="1031" spans="1:16" ht="15.75" customHeight="1">
      <c r="A1031" s="1" t="s">
        <v>10</v>
      </c>
      <c r="B1031" s="1" t="s">
        <v>2789</v>
      </c>
      <c r="C1031" s="1" t="s">
        <v>2790</v>
      </c>
      <c r="D1031" s="1" t="s">
        <v>2791</v>
      </c>
      <c r="E1031" s="1" t="s">
        <v>2792</v>
      </c>
      <c r="F1031" s="1" t="s">
        <v>2793</v>
      </c>
      <c r="H1031" s="1">
        <v>2</v>
      </c>
      <c r="I1031" s="1">
        <v>2023</v>
      </c>
      <c r="J1031" s="1">
        <v>21</v>
      </c>
      <c r="K1031" s="1">
        <v>3</v>
      </c>
      <c r="O1031" s="1" t="s">
        <v>2794</v>
      </c>
    </row>
    <row r="1032" spans="1:16" ht="15.75" customHeight="1">
      <c r="A1032" s="1" t="s">
        <v>0</v>
      </c>
      <c r="B1032" s="1" t="s">
        <v>4263</v>
      </c>
      <c r="C1032" s="1" t="s">
        <v>4264</v>
      </c>
      <c r="D1032" s="1" t="s">
        <v>4265</v>
      </c>
      <c r="E1032" s="1" t="s">
        <v>4266</v>
      </c>
      <c r="F1032" s="1" t="s">
        <v>4267</v>
      </c>
      <c r="G1032" s="1">
        <v>44</v>
      </c>
      <c r="H1032" s="1">
        <v>2</v>
      </c>
      <c r="I1032" s="1">
        <v>2023</v>
      </c>
      <c r="J1032" s="1">
        <v>32</v>
      </c>
      <c r="K1032" s="1" t="s">
        <v>378</v>
      </c>
      <c r="O1032" s="1" t="s">
        <v>4268</v>
      </c>
    </row>
    <row r="1033" spans="1:16" ht="15.75" customHeight="1">
      <c r="A1033" s="1" t="s">
        <v>0</v>
      </c>
      <c r="B1033" s="1" t="s">
        <v>2818</v>
      </c>
      <c r="C1033" s="1" t="s">
        <v>2819</v>
      </c>
      <c r="D1033" s="1" t="s">
        <v>365</v>
      </c>
      <c r="E1033" s="1" t="s">
        <v>2820</v>
      </c>
      <c r="F1033" s="1" t="s">
        <v>2821</v>
      </c>
      <c r="G1033" s="1">
        <v>31</v>
      </c>
      <c r="H1033" s="1">
        <v>2</v>
      </c>
      <c r="I1033" s="1">
        <v>2023</v>
      </c>
      <c r="J1033" s="1">
        <v>28</v>
      </c>
      <c r="K1033" s="1">
        <v>7</v>
      </c>
      <c r="L1033" s="1">
        <v>599</v>
      </c>
      <c r="M1033" s="1">
        <v>615</v>
      </c>
      <c r="N1033" s="1" t="s">
        <v>6</v>
      </c>
      <c r="O1033" s="1" t="s">
        <v>2822</v>
      </c>
      <c r="P1033" s="3" t="str">
        <f>HYPERLINK("http://dx.doi.org/10.1080/15325024.2022.2141515","http://dx.doi.org/10.1080/15325024.2022.2141515")</f>
        <v>http://dx.doi.org/10.1080/15325024.2022.2141515</v>
      </c>
    </row>
    <row r="1034" spans="1:16" ht="15.75" customHeight="1">
      <c r="A1034" s="1" t="s">
        <v>0</v>
      </c>
      <c r="B1034" s="1" t="s">
        <v>2861</v>
      </c>
      <c r="C1034" s="1" t="s">
        <v>2870</v>
      </c>
      <c r="D1034" s="1" t="s">
        <v>2871</v>
      </c>
      <c r="E1034" s="1" t="s">
        <v>2872</v>
      </c>
      <c r="F1034" s="1" t="s">
        <v>2873</v>
      </c>
      <c r="G1034" s="1">
        <v>131</v>
      </c>
      <c r="H1034" s="1">
        <v>2</v>
      </c>
      <c r="I1034" s="1">
        <v>2023</v>
      </c>
      <c r="J1034" s="1">
        <v>29</v>
      </c>
      <c r="K1034" s="1">
        <v>4</v>
      </c>
      <c r="L1034" s="1">
        <v>378</v>
      </c>
      <c r="M1034" s="1">
        <v>397</v>
      </c>
      <c r="N1034" s="1" t="s">
        <v>6</v>
      </c>
      <c r="O1034" s="1" t="s">
        <v>2874</v>
      </c>
      <c r="P1034" s="3" t="str">
        <f>HYPERLINK("http://dx.doi.org/10.1080/13504630.2023.2249418","http://dx.doi.org/10.1080/13504630.2023.2249418")</f>
        <v>http://dx.doi.org/10.1080/13504630.2023.2249418</v>
      </c>
    </row>
    <row r="1035" spans="1:16" ht="15.75" customHeight="1">
      <c r="A1035" s="1" t="s">
        <v>0</v>
      </c>
      <c r="B1035" s="1" t="s">
        <v>1786</v>
      </c>
      <c r="C1035" s="1" t="s">
        <v>1787</v>
      </c>
      <c r="D1035" s="1" t="s">
        <v>1782</v>
      </c>
      <c r="E1035" s="1" t="s">
        <v>1788</v>
      </c>
      <c r="F1035" s="1" t="s">
        <v>1789</v>
      </c>
      <c r="G1035" s="1">
        <v>59</v>
      </c>
      <c r="H1035" s="1">
        <v>2</v>
      </c>
      <c r="I1035" s="1">
        <v>2023</v>
      </c>
      <c r="J1035" s="1">
        <v>22</v>
      </c>
      <c r="K1035" s="1">
        <v>1</v>
      </c>
      <c r="L1035" s="1">
        <v>1</v>
      </c>
      <c r="M1035" s="1">
        <v>9</v>
      </c>
      <c r="N1035" s="1" t="s">
        <v>6</v>
      </c>
      <c r="O1035" s="1" t="s">
        <v>1790</v>
      </c>
      <c r="P1035" s="3" t="str">
        <f>HYPERLINK("http://dx.doi.org/10.1057/s41304-022-00405-6","http://dx.doi.org/10.1057/s41304-022-00405-6")</f>
        <v>http://dx.doi.org/10.1057/s41304-022-00405-6</v>
      </c>
    </row>
    <row r="1036" spans="1:16" ht="15.75" customHeight="1">
      <c r="A1036" s="1" t="s">
        <v>0</v>
      </c>
      <c r="B1036" s="1" t="s">
        <v>7026</v>
      </c>
      <c r="C1036" s="1" t="s">
        <v>7027</v>
      </c>
      <c r="D1036" s="1" t="s">
        <v>1904</v>
      </c>
      <c r="E1036" s="1" t="s">
        <v>7028</v>
      </c>
      <c r="F1036" s="1" t="s">
        <v>7029</v>
      </c>
      <c r="G1036" s="1">
        <v>55</v>
      </c>
      <c r="H1036" s="1">
        <v>2</v>
      </c>
      <c r="I1036" s="1">
        <v>2023</v>
      </c>
      <c r="J1036" s="1">
        <v>21</v>
      </c>
      <c r="K1036" s="1">
        <v>4</v>
      </c>
      <c r="L1036" s="1">
        <v>547</v>
      </c>
      <c r="M1036" s="1">
        <v>565</v>
      </c>
      <c r="N1036" s="1" t="s">
        <v>6</v>
      </c>
      <c r="O1036" s="1" t="s">
        <v>7030</v>
      </c>
      <c r="P1036" s="3" t="str">
        <f>HYPERLINK("http://dx.doi.org/10.1080/15562948.2022.2163521","http://dx.doi.org/10.1080/15562948.2022.2163521")</f>
        <v>http://dx.doi.org/10.1080/15562948.2022.2163521</v>
      </c>
    </row>
    <row r="1037" spans="1:16" ht="15.75" customHeight="1">
      <c r="A1037" s="1" t="s">
        <v>10</v>
      </c>
      <c r="B1037" s="1" t="s">
        <v>6978</v>
      </c>
      <c r="C1037" s="1" t="s">
        <v>6979</v>
      </c>
      <c r="D1037" s="1" t="s">
        <v>662</v>
      </c>
      <c r="E1037" s="1" t="s">
        <v>6980</v>
      </c>
      <c r="F1037" s="1" t="s">
        <v>6981</v>
      </c>
      <c r="H1037" s="1">
        <v>1</v>
      </c>
      <c r="I1037" s="1">
        <v>2023</v>
      </c>
      <c r="J1037" s="1">
        <v>21</v>
      </c>
      <c r="K1037" s="1">
        <v>1</v>
      </c>
      <c r="O1037" s="1" t="s">
        <v>6982</v>
      </c>
    </row>
    <row r="1038" spans="1:16" ht="15.75" customHeight="1">
      <c r="A1038" s="1" t="s">
        <v>10</v>
      </c>
      <c r="B1038" s="1" t="s">
        <v>4898</v>
      </c>
      <c r="C1038" s="1" t="s">
        <v>4899</v>
      </c>
      <c r="D1038" s="1" t="s">
        <v>4900</v>
      </c>
      <c r="E1038" s="1" t="s">
        <v>4901</v>
      </c>
      <c r="F1038" s="1" t="s">
        <v>4902</v>
      </c>
      <c r="H1038" s="1">
        <v>1</v>
      </c>
      <c r="I1038" s="1">
        <v>2023</v>
      </c>
      <c r="J1038" s="1">
        <v>58</v>
      </c>
      <c r="K1038" s="1">
        <v>3</v>
      </c>
      <c r="O1038" s="1" t="s">
        <v>4903</v>
      </c>
    </row>
    <row r="1039" spans="1:16" ht="15.75" customHeight="1">
      <c r="A1039" s="1" t="s">
        <v>10</v>
      </c>
      <c r="B1039" s="1" t="s">
        <v>4238</v>
      </c>
      <c r="C1039" s="1" t="s">
        <v>4239</v>
      </c>
      <c r="D1039" s="1" t="s">
        <v>4240</v>
      </c>
      <c r="E1039" s="1" t="s">
        <v>4241</v>
      </c>
      <c r="F1039" s="1" t="s">
        <v>4242</v>
      </c>
      <c r="H1039" s="1">
        <v>1</v>
      </c>
      <c r="I1039" s="1">
        <v>2023</v>
      </c>
      <c r="K1039" s="1">
        <v>48</v>
      </c>
      <c r="O1039" s="1" t="s">
        <v>4243</v>
      </c>
    </row>
    <row r="1040" spans="1:16" ht="15.75" customHeight="1">
      <c r="A1040" s="1" t="s">
        <v>10</v>
      </c>
      <c r="B1040" s="1" t="s">
        <v>4281</v>
      </c>
      <c r="C1040" s="1" t="s">
        <v>4282</v>
      </c>
      <c r="D1040" s="1" t="s">
        <v>1404</v>
      </c>
      <c r="E1040" s="1" t="s">
        <v>4283</v>
      </c>
      <c r="F1040" s="1" t="s">
        <v>4284</v>
      </c>
      <c r="H1040" s="1">
        <v>1</v>
      </c>
      <c r="I1040" s="1">
        <v>2023</v>
      </c>
      <c r="J1040" s="1">
        <v>12</v>
      </c>
      <c r="K1040" s="1">
        <v>6</v>
      </c>
      <c r="O1040" s="1" t="s">
        <v>4285</v>
      </c>
    </row>
    <row r="1041" spans="1:16" ht="15.75" customHeight="1">
      <c r="A1041" s="1" t="s">
        <v>0</v>
      </c>
      <c r="B1041" s="1" t="s">
        <v>3004</v>
      </c>
      <c r="C1041" s="1" t="s">
        <v>3005</v>
      </c>
      <c r="D1041" s="1" t="s">
        <v>3006</v>
      </c>
      <c r="E1041" s="1" t="s">
        <v>3007</v>
      </c>
      <c r="F1041" s="1" t="s">
        <v>3008</v>
      </c>
      <c r="G1041" s="1">
        <v>66</v>
      </c>
      <c r="H1041" s="1">
        <v>1</v>
      </c>
      <c r="I1041" s="1">
        <v>2023</v>
      </c>
      <c r="J1041" s="1">
        <v>55</v>
      </c>
      <c r="K1041" s="1" t="s">
        <v>6</v>
      </c>
      <c r="L1041" s="1">
        <v>219</v>
      </c>
      <c r="M1041" s="1">
        <v>226</v>
      </c>
      <c r="N1041" s="1" t="s">
        <v>6</v>
      </c>
      <c r="O1041" s="1" t="s">
        <v>3009</v>
      </c>
      <c r="P1041" s="3" t="str">
        <f>HYPERLINK("http://dx.doi.org/10.14349/rlp.2023.v55.24","http://dx.doi.org/10.14349/rlp.2023.v55.24")</f>
        <v>http://dx.doi.org/10.14349/rlp.2023.v55.24</v>
      </c>
    </row>
    <row r="1042" spans="1:16" ht="15.75" customHeight="1">
      <c r="A1042" s="1" t="s">
        <v>10</v>
      </c>
      <c r="B1042" s="1" t="s">
        <v>4297</v>
      </c>
      <c r="C1042" s="1" t="s">
        <v>4298</v>
      </c>
      <c r="D1042" s="1" t="s">
        <v>4299</v>
      </c>
      <c r="E1042" s="1" t="s">
        <v>4300</v>
      </c>
      <c r="F1042" s="1" t="s">
        <v>4301</v>
      </c>
      <c r="H1042" s="1">
        <v>1</v>
      </c>
      <c r="I1042" s="1">
        <v>2023</v>
      </c>
      <c r="J1042" s="1">
        <v>77</v>
      </c>
      <c r="K1042" s="1">
        <v>3</v>
      </c>
      <c r="O1042" s="1" t="s">
        <v>4302</v>
      </c>
    </row>
    <row r="1043" spans="1:16" ht="15.75" customHeight="1">
      <c r="A1043" s="1" t="s">
        <v>0</v>
      </c>
      <c r="B1043" s="1" t="s">
        <v>1305</v>
      </c>
      <c r="C1043" s="1" t="s">
        <v>1324</v>
      </c>
      <c r="D1043" s="1" t="s">
        <v>1325</v>
      </c>
      <c r="E1043" s="1" t="s">
        <v>1326</v>
      </c>
      <c r="F1043" s="1" t="s">
        <v>1327</v>
      </c>
      <c r="G1043" s="1">
        <v>32</v>
      </c>
      <c r="H1043" s="1">
        <v>1</v>
      </c>
      <c r="I1043" s="1">
        <v>2023</v>
      </c>
      <c r="J1043" s="1" t="s">
        <v>6</v>
      </c>
      <c r="K1043" s="1" t="s">
        <v>6</v>
      </c>
      <c r="L1043" s="1" t="s">
        <v>6</v>
      </c>
      <c r="M1043" s="1" t="s">
        <v>6</v>
      </c>
      <c r="N1043" s="1" t="s">
        <v>6</v>
      </c>
      <c r="O1043" s="1" t="s">
        <v>1328</v>
      </c>
      <c r="P1043" s="3" t="str">
        <f>HYPERLINK("http://dx.doi.org/10.1007/s12134-023-01010-2","http://dx.doi.org/10.1007/s12134-023-01010-2")</f>
        <v>http://dx.doi.org/10.1007/s12134-023-01010-2</v>
      </c>
    </row>
    <row r="1044" spans="1:16" ht="15.75" customHeight="1">
      <c r="A1044" s="1" t="s">
        <v>10</v>
      </c>
      <c r="B1044" s="1" t="s">
        <v>6103</v>
      </c>
      <c r="C1044" s="1" t="s">
        <v>6104</v>
      </c>
      <c r="D1044" s="1" t="s">
        <v>6105</v>
      </c>
      <c r="E1044" s="1" t="s">
        <v>6106</v>
      </c>
      <c r="F1044" s="1" t="s">
        <v>6107</v>
      </c>
      <c r="H1044" s="1">
        <v>1</v>
      </c>
      <c r="I1044" s="1">
        <v>2023</v>
      </c>
      <c r="J1044" s="1">
        <v>35</v>
      </c>
      <c r="K1044" s="1">
        <v>8</v>
      </c>
      <c r="O1044" s="1" t="s">
        <v>6108</v>
      </c>
    </row>
    <row r="1045" spans="1:16" ht="15.75" customHeight="1">
      <c r="A1045" s="1" t="s">
        <v>10</v>
      </c>
      <c r="B1045" s="1" t="s">
        <v>4851</v>
      </c>
      <c r="C1045" s="1" t="s">
        <v>4852</v>
      </c>
      <c r="D1045" s="1" t="s">
        <v>4853</v>
      </c>
      <c r="E1045" s="1" t="s">
        <v>4854</v>
      </c>
      <c r="F1045" s="1" t="s">
        <v>4855</v>
      </c>
      <c r="H1045" s="1">
        <v>1</v>
      </c>
      <c r="I1045" s="1">
        <v>2023</v>
      </c>
      <c r="J1045" s="1">
        <v>6</v>
      </c>
      <c r="K1045" s="1">
        <v>4</v>
      </c>
      <c r="O1045" s="1" t="s">
        <v>4856</v>
      </c>
    </row>
    <row r="1046" spans="1:16" ht="15.75" customHeight="1">
      <c r="A1046" s="1" t="s">
        <v>10</v>
      </c>
      <c r="B1046" s="1" t="s">
        <v>3806</v>
      </c>
      <c r="C1046" s="1" t="s">
        <v>3807</v>
      </c>
      <c r="D1046" s="1" t="s">
        <v>3808</v>
      </c>
      <c r="E1046" s="1" t="s">
        <v>3809</v>
      </c>
      <c r="F1046" s="1" t="s">
        <v>3810</v>
      </c>
      <c r="H1046" s="1">
        <v>1</v>
      </c>
      <c r="I1046" s="1">
        <v>2023</v>
      </c>
      <c r="O1046" s="1" t="s">
        <v>3811</v>
      </c>
    </row>
    <row r="1047" spans="1:16" ht="15.75" customHeight="1">
      <c r="A1047" s="1" t="s">
        <v>0</v>
      </c>
      <c r="B1047" s="1" t="s">
        <v>2388</v>
      </c>
      <c r="C1047" s="1" t="s">
        <v>2389</v>
      </c>
      <c r="D1047" s="1" t="s">
        <v>206</v>
      </c>
      <c r="E1047" s="1" t="s">
        <v>2390</v>
      </c>
      <c r="F1047" s="1" t="s">
        <v>2391</v>
      </c>
      <c r="G1047" s="1">
        <v>71</v>
      </c>
      <c r="H1047" s="1">
        <v>1</v>
      </c>
      <c r="I1047" s="1">
        <v>2023</v>
      </c>
      <c r="J1047" s="1" t="s">
        <v>6</v>
      </c>
      <c r="K1047" s="1">
        <v>83</v>
      </c>
      <c r="L1047" s="1">
        <v>61</v>
      </c>
      <c r="M1047" s="1">
        <v>80</v>
      </c>
      <c r="N1047" s="1" t="s">
        <v>6</v>
      </c>
      <c r="O1047" s="1" t="s">
        <v>2392</v>
      </c>
      <c r="P1047" s="3" t="str">
        <f>HYPERLINK("http://dx.doi.org/10.7440/res83.2023.04","http://dx.doi.org/10.7440/res83.2023.04")</f>
        <v>http://dx.doi.org/10.7440/res83.2023.04</v>
      </c>
    </row>
    <row r="1048" spans="1:16" ht="15.75" customHeight="1">
      <c r="A1048" s="1" t="s">
        <v>10</v>
      </c>
      <c r="B1048" s="1" t="s">
        <v>747</v>
      </c>
      <c r="C1048" s="1" t="s">
        <v>748</v>
      </c>
      <c r="D1048" s="1" t="s">
        <v>749</v>
      </c>
      <c r="E1048" s="1" t="s">
        <v>750</v>
      </c>
      <c r="F1048" s="1" t="s">
        <v>751</v>
      </c>
      <c r="H1048" s="1">
        <v>1</v>
      </c>
      <c r="I1048" s="1">
        <v>2023</v>
      </c>
      <c r="J1048" s="1">
        <v>21</v>
      </c>
      <c r="K1048" s="1">
        <v>1</v>
      </c>
      <c r="O1048" s="1" t="s">
        <v>752</v>
      </c>
    </row>
    <row r="1049" spans="1:16" ht="15.75" customHeight="1">
      <c r="A1049" s="1" t="s">
        <v>0</v>
      </c>
      <c r="B1049" s="1" t="s">
        <v>7058</v>
      </c>
      <c r="C1049" s="1" t="s">
        <v>7059</v>
      </c>
      <c r="D1049" s="1" t="s">
        <v>264</v>
      </c>
      <c r="E1049" s="1" t="s">
        <v>7060</v>
      </c>
      <c r="F1049" s="1" t="s">
        <v>7061</v>
      </c>
      <c r="G1049" s="1">
        <v>52</v>
      </c>
      <c r="H1049" s="1">
        <v>1</v>
      </c>
      <c r="I1049" s="1">
        <v>2023</v>
      </c>
      <c r="J1049" s="1">
        <v>49</v>
      </c>
      <c r="K1049" s="1">
        <v>13</v>
      </c>
      <c r="L1049" s="1">
        <v>3409</v>
      </c>
      <c r="M1049" s="1">
        <v>3433</v>
      </c>
      <c r="N1049" s="1" t="s">
        <v>6</v>
      </c>
      <c r="O1049" s="1" t="s">
        <v>7062</v>
      </c>
      <c r="P1049" s="3" t="str">
        <f>HYPERLINK("http://dx.doi.org/10.1080/1369183X.2023.2184294","http://dx.doi.org/10.1080/1369183X.2023.2184294")</f>
        <v>http://dx.doi.org/10.1080/1369183X.2023.2184294</v>
      </c>
    </row>
    <row r="1050" spans="1:16" ht="15.75" customHeight="1">
      <c r="A1050" s="1" t="s">
        <v>0</v>
      </c>
      <c r="B1050" s="1" t="s">
        <v>4868</v>
      </c>
      <c r="C1050" s="1" t="s">
        <v>4869</v>
      </c>
      <c r="D1050" s="1" t="s">
        <v>4870</v>
      </c>
      <c r="E1050" s="1" t="s">
        <v>4871</v>
      </c>
      <c r="F1050" s="1" t="s">
        <v>4872</v>
      </c>
      <c r="G1050" s="1">
        <v>41</v>
      </c>
      <c r="H1050" s="1">
        <v>1</v>
      </c>
      <c r="I1050" s="1">
        <v>2023</v>
      </c>
      <c r="J1050" s="1" t="s">
        <v>6</v>
      </c>
      <c r="K1050" s="1">
        <v>49</v>
      </c>
      <c r="L1050" s="1">
        <v>279</v>
      </c>
      <c r="M1050" s="1">
        <v>305</v>
      </c>
      <c r="N1050" s="1" t="s">
        <v>6</v>
      </c>
      <c r="O1050" s="1" t="s">
        <v>4873</v>
      </c>
      <c r="P1050" s="3" t="str">
        <f>HYPERLINK("http://dx.doi.org/10.18042/hp.49.10","http://dx.doi.org/10.18042/hp.49.10")</f>
        <v>http://dx.doi.org/10.18042/hp.49.10</v>
      </c>
    </row>
    <row r="1051" spans="1:16" ht="15.75" customHeight="1">
      <c r="A1051" s="1" t="s">
        <v>10</v>
      </c>
      <c r="B1051" s="1" t="s">
        <v>3733</v>
      </c>
      <c r="C1051" s="1" t="s">
        <v>3734</v>
      </c>
      <c r="D1051" s="1" t="s">
        <v>3735</v>
      </c>
      <c r="E1051" s="1" t="s">
        <v>3736</v>
      </c>
      <c r="F1051" s="1" t="s">
        <v>3737</v>
      </c>
      <c r="H1051" s="1">
        <v>1</v>
      </c>
      <c r="I1051" s="1">
        <v>2023</v>
      </c>
      <c r="J1051" s="1">
        <v>60</v>
      </c>
      <c r="K1051" s="1">
        <v>2</v>
      </c>
      <c r="O1051" s="1" t="s">
        <v>3738</v>
      </c>
    </row>
    <row r="1052" spans="1:16" ht="15.75" customHeight="1">
      <c r="A1052" s="1" t="s">
        <v>10</v>
      </c>
      <c r="B1052" s="1" t="s">
        <v>2616</v>
      </c>
      <c r="C1052" s="1" t="s">
        <v>2617</v>
      </c>
      <c r="D1052" s="1" t="s">
        <v>2618</v>
      </c>
      <c r="E1052" s="1" t="s">
        <v>2619</v>
      </c>
      <c r="F1052" s="1" t="s">
        <v>2620</v>
      </c>
      <c r="H1052" s="1">
        <v>1</v>
      </c>
      <c r="I1052" s="1">
        <v>2023</v>
      </c>
      <c r="K1052" s="1">
        <v>133</v>
      </c>
      <c r="O1052" s="1" t="s">
        <v>2621</v>
      </c>
    </row>
    <row r="1053" spans="1:16" ht="15.75" customHeight="1">
      <c r="A1053" s="1" t="s">
        <v>0</v>
      </c>
      <c r="B1053" s="1" t="s">
        <v>19</v>
      </c>
      <c r="C1053" s="1" t="s">
        <v>20</v>
      </c>
      <c r="D1053" s="1" t="s">
        <v>21</v>
      </c>
      <c r="E1053" s="1" t="s">
        <v>22</v>
      </c>
      <c r="F1053" s="1" t="s">
        <v>23</v>
      </c>
      <c r="G1053" s="1">
        <v>66</v>
      </c>
      <c r="H1053" s="1">
        <v>1</v>
      </c>
      <c r="I1053" s="1">
        <v>2023</v>
      </c>
      <c r="J1053" s="1">
        <v>32</v>
      </c>
      <c r="K1053" s="1">
        <v>2</v>
      </c>
      <c r="L1053" s="1">
        <v>129</v>
      </c>
      <c r="M1053" s="1">
        <v>140</v>
      </c>
      <c r="N1053" s="1" t="s">
        <v>6</v>
      </c>
      <c r="O1053" s="1" t="s">
        <v>24</v>
      </c>
      <c r="P1053" s="3" t="str">
        <f>HYPERLINK("http://dx.doi.org/10.5209/raso.91746","http://dx.doi.org/10.5209/raso.91746")</f>
        <v>http://dx.doi.org/10.5209/raso.91746</v>
      </c>
    </row>
    <row r="1054" spans="1:16" ht="15.75" customHeight="1">
      <c r="A1054" s="1" t="s">
        <v>0</v>
      </c>
      <c r="B1054" s="1" t="s">
        <v>1689</v>
      </c>
      <c r="C1054" s="1" t="s">
        <v>1690</v>
      </c>
      <c r="D1054" s="1" t="s">
        <v>1691</v>
      </c>
      <c r="E1054" s="1" t="s">
        <v>1692</v>
      </c>
      <c r="F1054" s="1" t="s">
        <v>1693</v>
      </c>
      <c r="G1054" s="1">
        <v>87</v>
      </c>
      <c r="H1054" s="1">
        <v>1</v>
      </c>
      <c r="I1054" s="1">
        <v>2023</v>
      </c>
      <c r="J1054" s="1">
        <v>38</v>
      </c>
      <c r="K1054" s="1">
        <v>3</v>
      </c>
      <c r="L1054" s="1">
        <v>394</v>
      </c>
      <c r="M1054" s="1">
        <v>408</v>
      </c>
      <c r="N1054" s="1" t="s">
        <v>6</v>
      </c>
      <c r="O1054" s="1" t="s">
        <v>1694</v>
      </c>
      <c r="P1054" s="3" t="str">
        <f>HYPERLINK("http://dx.doi.org/10.1093/heapol/czad002","http://dx.doi.org/10.1093/heapol/czad002")</f>
        <v>http://dx.doi.org/10.1093/heapol/czad002</v>
      </c>
    </row>
    <row r="1055" spans="1:16" ht="15.75" customHeight="1">
      <c r="A1055" s="1" t="s">
        <v>10</v>
      </c>
      <c r="B1055" s="1" t="s">
        <v>92</v>
      </c>
      <c r="C1055" s="1" t="s">
        <v>93</v>
      </c>
      <c r="D1055" s="1" t="s">
        <v>94</v>
      </c>
      <c r="E1055" s="1" t="s">
        <v>95</v>
      </c>
      <c r="F1055" s="1" t="s">
        <v>96</v>
      </c>
      <c r="H1055" s="1">
        <v>1</v>
      </c>
      <c r="I1055" s="1">
        <v>2023</v>
      </c>
      <c r="J1055" s="1">
        <v>21</v>
      </c>
      <c r="K1055" s="1">
        <v>2</v>
      </c>
      <c r="O1055" s="1" t="s">
        <v>97</v>
      </c>
    </row>
    <row r="1056" spans="1:16" ht="15.75" customHeight="1">
      <c r="A1056" s="1" t="s">
        <v>0</v>
      </c>
      <c r="B1056" s="1" t="s">
        <v>4920</v>
      </c>
      <c r="C1056" s="1" t="s">
        <v>4921</v>
      </c>
      <c r="D1056" s="1" t="s">
        <v>609</v>
      </c>
      <c r="E1056" s="1" t="s">
        <v>4922</v>
      </c>
      <c r="F1056" s="1" t="s">
        <v>4923</v>
      </c>
      <c r="G1056" s="1">
        <v>36</v>
      </c>
      <c r="H1056" s="1">
        <v>1</v>
      </c>
      <c r="I1056" s="1">
        <v>2023</v>
      </c>
      <c r="J1056" s="1" t="s">
        <v>6</v>
      </c>
      <c r="K1056" s="1">
        <v>133</v>
      </c>
      <c r="L1056" s="1">
        <v>137</v>
      </c>
      <c r="M1056" s="1">
        <v>159</v>
      </c>
      <c r="N1056" s="1" t="s">
        <v>6</v>
      </c>
      <c r="O1056" s="1" t="s">
        <v>4924</v>
      </c>
      <c r="P1056" s="3" t="str">
        <f>HYPERLINK("http://dx.doi.org/10.24241/rcai.2023.133.1.137","http://dx.doi.org/10.24241/rcai.2023.133.1.137")</f>
        <v>http://dx.doi.org/10.24241/rcai.2023.133.1.137</v>
      </c>
    </row>
    <row r="1057" spans="1:16" ht="15.75" customHeight="1">
      <c r="A1057" s="1" t="s">
        <v>0</v>
      </c>
      <c r="B1057" s="1" t="s">
        <v>2460</v>
      </c>
      <c r="C1057" s="1" t="s">
        <v>2461</v>
      </c>
      <c r="D1057" s="1" t="s">
        <v>803</v>
      </c>
      <c r="E1057" s="1" t="s">
        <v>2462</v>
      </c>
      <c r="F1057" s="1" t="s">
        <v>2463</v>
      </c>
      <c r="G1057" s="1">
        <v>46</v>
      </c>
      <c r="H1057" s="1">
        <v>1</v>
      </c>
      <c r="I1057" s="1">
        <v>2023</v>
      </c>
      <c r="J1057" s="1">
        <v>33</v>
      </c>
      <c r="K1057" s="1">
        <v>2</v>
      </c>
      <c r="L1057" s="1">
        <v>47</v>
      </c>
      <c r="M1057" s="1">
        <v>61</v>
      </c>
      <c r="N1057" s="1" t="s">
        <v>6</v>
      </c>
      <c r="O1057" s="1" t="s">
        <v>2464</v>
      </c>
      <c r="P1057" s="3" t="str">
        <f>HYPERLINK("http://dx.doi.org/10.15446/bitacora.v33n2.105519","http://dx.doi.org/10.15446/bitacora.v33n2.105519")</f>
        <v>http://dx.doi.org/10.15446/bitacora.v33n2.105519</v>
      </c>
    </row>
    <row r="1058" spans="1:16" ht="15.75" customHeight="1">
      <c r="A1058" s="1" t="s">
        <v>10</v>
      </c>
      <c r="B1058" s="1" t="s">
        <v>1206</v>
      </c>
      <c r="C1058" s="1" t="s">
        <v>1207</v>
      </c>
      <c r="D1058" s="1" t="s">
        <v>473</v>
      </c>
      <c r="E1058" s="1" t="s">
        <v>1208</v>
      </c>
      <c r="F1058" s="1" t="s">
        <v>1209</v>
      </c>
      <c r="H1058" s="1">
        <v>1</v>
      </c>
      <c r="I1058" s="1">
        <v>2023</v>
      </c>
      <c r="J1058" s="1">
        <v>49</v>
      </c>
      <c r="K1058" s="1">
        <v>148</v>
      </c>
      <c r="O1058" s="1" t="s">
        <v>1210</v>
      </c>
    </row>
    <row r="1059" spans="1:16" ht="15.75" customHeight="1">
      <c r="A1059" s="1" t="s">
        <v>0</v>
      </c>
      <c r="B1059" s="1" t="s">
        <v>1345</v>
      </c>
      <c r="C1059" s="1" t="s">
        <v>1346</v>
      </c>
      <c r="D1059" s="1" t="s">
        <v>1347</v>
      </c>
      <c r="E1059" s="1" t="s">
        <v>1348</v>
      </c>
      <c r="F1059" s="1" t="s">
        <v>1349</v>
      </c>
      <c r="G1059" s="1">
        <v>45</v>
      </c>
      <c r="H1059" s="1">
        <v>1</v>
      </c>
      <c r="I1059" s="1">
        <v>2023</v>
      </c>
      <c r="J1059" s="1">
        <v>79</v>
      </c>
      <c r="K1059" s="1">
        <v>4</v>
      </c>
      <c r="L1059" s="1">
        <v>395</v>
      </c>
      <c r="M1059" s="1">
        <v>416</v>
      </c>
      <c r="N1059" s="1" t="s">
        <v>6</v>
      </c>
      <c r="O1059" s="1" t="s">
        <v>1350</v>
      </c>
      <c r="P1059" s="3" t="str">
        <f>HYPERLINK("http://dx.doi.org/10.1007/s10611-022-10059-6","http://dx.doi.org/10.1007/s10611-022-10059-6")</f>
        <v>http://dx.doi.org/10.1007/s10611-022-10059-6</v>
      </c>
    </row>
    <row r="1060" spans="1:16" ht="15.75" customHeight="1">
      <c r="A1060" s="1" t="s">
        <v>0</v>
      </c>
      <c r="B1060" s="1" t="s">
        <v>6584</v>
      </c>
      <c r="C1060" s="1" t="s">
        <v>6585</v>
      </c>
      <c r="D1060" s="1" t="s">
        <v>6586</v>
      </c>
      <c r="E1060" s="1" t="s">
        <v>6587</v>
      </c>
      <c r="F1060" s="1" t="s">
        <v>6588</v>
      </c>
      <c r="G1060" s="1">
        <v>71</v>
      </c>
      <c r="H1060" s="1">
        <v>1</v>
      </c>
      <c r="I1060" s="1">
        <v>2023</v>
      </c>
      <c r="J1060" s="1">
        <v>35</v>
      </c>
      <c r="K1060" s="1">
        <v>3</v>
      </c>
      <c r="L1060" s="1">
        <v>215</v>
      </c>
      <c r="M1060" s="1">
        <v>227</v>
      </c>
      <c r="N1060" s="1" t="s">
        <v>6</v>
      </c>
      <c r="O1060" s="1" t="s">
        <v>6589</v>
      </c>
      <c r="P1060" s="3" t="str">
        <f>HYPERLINK("http://dx.doi.org/10.1111/ciso.12472","http://dx.doi.org/10.1111/ciso.12472")</f>
        <v>http://dx.doi.org/10.1111/ciso.12472</v>
      </c>
    </row>
    <row r="1061" spans="1:16" ht="15.75" customHeight="1">
      <c r="A1061" s="1" t="s">
        <v>10</v>
      </c>
      <c r="B1061" s="1" t="s">
        <v>4590</v>
      </c>
      <c r="C1061" s="1" t="s">
        <v>4591</v>
      </c>
      <c r="D1061" s="1" t="s">
        <v>4592</v>
      </c>
      <c r="E1061" s="1" t="s">
        <v>4593</v>
      </c>
      <c r="F1061" s="1" t="s">
        <v>4594</v>
      </c>
      <c r="H1061" s="1">
        <v>1</v>
      </c>
      <c r="I1061" s="1">
        <v>2023</v>
      </c>
      <c r="J1061" s="1">
        <v>44</v>
      </c>
      <c r="K1061" s="1">
        <v>8</v>
      </c>
      <c r="O1061" s="1" t="s">
        <v>4595</v>
      </c>
    </row>
    <row r="1062" spans="1:16" ht="15.75" customHeight="1">
      <c r="A1062" s="1" t="s">
        <v>0</v>
      </c>
      <c r="B1062" s="1" t="s">
        <v>1305</v>
      </c>
      <c r="C1062" s="1" t="s">
        <v>1306</v>
      </c>
      <c r="D1062" s="1" t="s">
        <v>1307</v>
      </c>
      <c r="E1062" s="1" t="s">
        <v>1308</v>
      </c>
      <c r="F1062" s="1" t="s">
        <v>1309</v>
      </c>
      <c r="G1062" s="1">
        <v>36</v>
      </c>
      <c r="H1062" s="1">
        <v>1</v>
      </c>
      <c r="I1062" s="1">
        <v>2023</v>
      </c>
      <c r="J1062" s="1" t="s">
        <v>6</v>
      </c>
      <c r="K1062" s="1" t="s">
        <v>6</v>
      </c>
      <c r="L1062" s="1" t="s">
        <v>6</v>
      </c>
      <c r="M1062" s="1" t="s">
        <v>6</v>
      </c>
      <c r="N1062" s="1" t="s">
        <v>6</v>
      </c>
      <c r="O1062" s="1" t="s">
        <v>1310</v>
      </c>
      <c r="P1062" s="3" t="str">
        <f>HYPERLINK("http://dx.doi.org/10.1080/23800127.2023.2295185","http://dx.doi.org/10.1080/23800127.2023.2295185")</f>
        <v>http://dx.doi.org/10.1080/23800127.2023.2295185</v>
      </c>
    </row>
    <row r="1063" spans="1:16" ht="15.75" customHeight="1">
      <c r="A1063" s="1" t="s">
        <v>10</v>
      </c>
      <c r="B1063" s="1" t="s">
        <v>110</v>
      </c>
      <c r="C1063" s="1" t="s">
        <v>111</v>
      </c>
      <c r="D1063" s="1" t="s">
        <v>112</v>
      </c>
      <c r="E1063" s="1" t="s">
        <v>113</v>
      </c>
      <c r="F1063" s="1" t="s">
        <v>114</v>
      </c>
      <c r="H1063" s="1">
        <v>1</v>
      </c>
      <c r="I1063" s="1">
        <v>2023</v>
      </c>
      <c r="J1063" s="1">
        <v>45</v>
      </c>
      <c r="K1063" s="1">
        <v>180</v>
      </c>
      <c r="O1063" s="1" t="s">
        <v>115</v>
      </c>
    </row>
    <row r="1064" spans="1:16" ht="15.75" customHeight="1">
      <c r="A1064" s="1" t="s">
        <v>0</v>
      </c>
      <c r="B1064" s="1" t="s">
        <v>1000</v>
      </c>
      <c r="C1064" s="1" t="s">
        <v>1001</v>
      </c>
      <c r="D1064" s="1" t="s">
        <v>1002</v>
      </c>
      <c r="E1064" s="1" t="s">
        <v>1003</v>
      </c>
      <c r="F1064" s="1" t="s">
        <v>1004</v>
      </c>
      <c r="G1064" s="1">
        <v>15</v>
      </c>
      <c r="H1064" s="1">
        <v>1</v>
      </c>
      <c r="I1064" s="1">
        <v>2023</v>
      </c>
      <c r="J1064" s="1">
        <v>15</v>
      </c>
      <c r="K1064" s="1" t="s">
        <v>6</v>
      </c>
      <c r="L1064" s="1" t="s">
        <v>6</v>
      </c>
      <c r="M1064" s="1" t="s">
        <v>6</v>
      </c>
      <c r="N1064" s="1" t="s">
        <v>1005</v>
      </c>
      <c r="O1064" s="1" t="s">
        <v>1006</v>
      </c>
      <c r="P1064" s="3" t="str">
        <f>HYPERLINK("http://dx.doi.org/10.1590/2175-3369.015.e20210398","http://dx.doi.org/10.1590/2175-3369.015.e20210398")</f>
        <v>http://dx.doi.org/10.1590/2175-3369.015.e20210398</v>
      </c>
    </row>
    <row r="1065" spans="1:16" ht="15.75" customHeight="1">
      <c r="A1065" s="1" t="s">
        <v>10</v>
      </c>
      <c r="B1065" s="1" t="s">
        <v>1526</v>
      </c>
      <c r="C1065" s="1" t="s">
        <v>1527</v>
      </c>
      <c r="D1065" s="1" t="s">
        <v>1528</v>
      </c>
      <c r="E1065" s="1" t="s">
        <v>1529</v>
      </c>
      <c r="F1065" s="1" t="s">
        <v>1530</v>
      </c>
      <c r="H1065" s="1">
        <v>1</v>
      </c>
      <c r="I1065" s="1">
        <v>2023</v>
      </c>
      <c r="J1065" s="1">
        <v>2023</v>
      </c>
      <c r="K1065" s="1">
        <v>51</v>
      </c>
      <c r="O1065" s="1" t="s">
        <v>1531</v>
      </c>
    </row>
    <row r="1066" spans="1:16" ht="15.75" customHeight="1">
      <c r="A1066" s="1" t="s">
        <v>0</v>
      </c>
      <c r="B1066" s="1" t="s">
        <v>488</v>
      </c>
      <c r="C1066" s="1" t="s">
        <v>489</v>
      </c>
      <c r="D1066" s="1" t="s">
        <v>490</v>
      </c>
      <c r="E1066" s="1" t="s">
        <v>491</v>
      </c>
      <c r="F1066" s="1" t="s">
        <v>492</v>
      </c>
      <c r="G1066" s="1">
        <v>64</v>
      </c>
      <c r="H1066" s="1">
        <v>1</v>
      </c>
      <c r="I1066" s="1">
        <v>2023</v>
      </c>
      <c r="J1066" s="1">
        <v>16</v>
      </c>
      <c r="K1066" s="1">
        <v>2</v>
      </c>
      <c r="L1066" s="1">
        <v>205</v>
      </c>
      <c r="M1066" s="1">
        <v>215</v>
      </c>
      <c r="N1066" s="1" t="s">
        <v>6</v>
      </c>
      <c r="O1066" s="1" t="s">
        <v>493</v>
      </c>
      <c r="P1066" s="3" t="str">
        <f>HYPERLINK("http://dx.doi.org/10.1285/i20356609v16i2p205","http://dx.doi.org/10.1285/i20356609v16i2p205")</f>
        <v>http://dx.doi.org/10.1285/i20356609v16i2p205</v>
      </c>
    </row>
    <row r="1067" spans="1:16" ht="15.75" customHeight="1">
      <c r="A1067" s="1" t="s">
        <v>0</v>
      </c>
      <c r="B1067" s="1" t="s">
        <v>2205</v>
      </c>
      <c r="C1067" s="1" t="s">
        <v>2206</v>
      </c>
      <c r="D1067" s="1" t="s">
        <v>2207</v>
      </c>
      <c r="E1067" s="1" t="s">
        <v>2208</v>
      </c>
      <c r="F1067" s="1" t="s">
        <v>2209</v>
      </c>
      <c r="G1067" s="1">
        <v>22</v>
      </c>
      <c r="H1067" s="1">
        <v>1</v>
      </c>
      <c r="I1067" s="1">
        <v>2023</v>
      </c>
      <c r="J1067" s="1">
        <v>32</v>
      </c>
      <c r="K1067" s="1" t="s">
        <v>2210</v>
      </c>
      <c r="O1067" s="1" t="s">
        <v>2211</v>
      </c>
    </row>
    <row r="1068" spans="1:16" ht="15.75" customHeight="1">
      <c r="A1068" s="1" t="s">
        <v>10</v>
      </c>
      <c r="B1068" s="1" t="s">
        <v>5680</v>
      </c>
      <c r="C1068" s="1" t="s">
        <v>5681</v>
      </c>
      <c r="D1068" s="1" t="s">
        <v>5682</v>
      </c>
      <c r="E1068" s="1" t="s">
        <v>5683</v>
      </c>
      <c r="F1068" s="1" t="s">
        <v>5684</v>
      </c>
      <c r="H1068" s="1">
        <v>1</v>
      </c>
      <c r="I1068" s="1">
        <v>2023</v>
      </c>
      <c r="J1068" s="1">
        <v>13</v>
      </c>
      <c r="K1068" s="1">
        <v>9</v>
      </c>
      <c r="O1068" s="1" t="s">
        <v>5685</v>
      </c>
    </row>
    <row r="1069" spans="1:16" ht="15.75" customHeight="1">
      <c r="A1069" s="1" t="s">
        <v>0</v>
      </c>
      <c r="B1069" s="1" t="s">
        <v>116</v>
      </c>
      <c r="C1069" s="1" t="s">
        <v>117</v>
      </c>
      <c r="D1069" s="1" t="s">
        <v>118</v>
      </c>
      <c r="E1069" s="1" t="s">
        <v>119</v>
      </c>
      <c r="F1069" s="1" t="s">
        <v>120</v>
      </c>
      <c r="G1069" s="1">
        <v>72</v>
      </c>
      <c r="H1069" s="1">
        <v>1</v>
      </c>
      <c r="I1069" s="1">
        <v>2023</v>
      </c>
      <c r="J1069" s="1">
        <v>45</v>
      </c>
      <c r="K1069" s="1" t="s">
        <v>121</v>
      </c>
      <c r="O1069" s="1" t="s">
        <v>115</v>
      </c>
    </row>
    <row r="1070" spans="1:16" ht="15.75" customHeight="1">
      <c r="A1070" s="1" t="s">
        <v>0</v>
      </c>
      <c r="B1070" s="1" t="s">
        <v>4080</v>
      </c>
      <c r="C1070" s="1" t="s">
        <v>4081</v>
      </c>
      <c r="D1070" s="1" t="s">
        <v>4082</v>
      </c>
      <c r="E1070" s="1" t="s">
        <v>4083</v>
      </c>
      <c r="F1070" s="1" t="s">
        <v>4084</v>
      </c>
      <c r="G1070" s="1">
        <v>95</v>
      </c>
      <c r="H1070" s="1">
        <v>1</v>
      </c>
      <c r="I1070" s="1">
        <v>2023</v>
      </c>
      <c r="J1070" s="1">
        <v>10</v>
      </c>
      <c r="K1070" s="1">
        <v>2</v>
      </c>
      <c r="L1070" s="1">
        <v>186</v>
      </c>
      <c r="M1070" s="1">
        <v>207</v>
      </c>
      <c r="N1070" s="1" t="s">
        <v>6</v>
      </c>
      <c r="O1070" s="1" t="s">
        <v>4085</v>
      </c>
      <c r="P1070" s="3" t="str">
        <f>HYPERLINK("http://dx.doi.org/10.1037/qup0000260","http://dx.doi.org/10.1037/qup0000260")</f>
        <v>http://dx.doi.org/10.1037/qup0000260</v>
      </c>
    </row>
    <row r="1071" spans="1:16" ht="15.75" customHeight="1">
      <c r="A1071" s="1" t="s">
        <v>10</v>
      </c>
      <c r="B1071" s="1" t="s">
        <v>978</v>
      </c>
      <c r="C1071" s="1" t="s">
        <v>979</v>
      </c>
      <c r="D1071" s="1" t="s">
        <v>980</v>
      </c>
      <c r="F1071" s="1" t="s">
        <v>981</v>
      </c>
      <c r="H1071" s="1">
        <v>1</v>
      </c>
      <c r="I1071" s="1">
        <v>2023</v>
      </c>
      <c r="J1071" s="1">
        <v>34</v>
      </c>
      <c r="K1071" s="1">
        <v>2</v>
      </c>
      <c r="O1071" s="1" t="s">
        <v>982</v>
      </c>
    </row>
    <row r="1072" spans="1:16" ht="15.75" customHeight="1">
      <c r="A1072" s="1" t="s">
        <v>0</v>
      </c>
      <c r="B1072" s="1" t="s">
        <v>5781</v>
      </c>
      <c r="C1072" s="2" t="s">
        <v>5782</v>
      </c>
      <c r="D1072" s="1" t="s">
        <v>5783</v>
      </c>
      <c r="E1072" s="8" t="s">
        <v>7125</v>
      </c>
      <c r="F1072" s="1" t="s">
        <v>5784</v>
      </c>
      <c r="G1072" s="1">
        <v>80</v>
      </c>
      <c r="H1072" s="1">
        <v>0</v>
      </c>
      <c r="I1072" s="1">
        <v>2023</v>
      </c>
      <c r="J1072" s="1">
        <v>88</v>
      </c>
      <c r="K1072" s="1">
        <v>4</v>
      </c>
      <c r="L1072" s="1">
        <v>1163</v>
      </c>
      <c r="M1072" s="1">
        <v>1192</v>
      </c>
      <c r="N1072" s="1" t="s">
        <v>6</v>
      </c>
      <c r="O1072" s="1" t="s">
        <v>5785</v>
      </c>
      <c r="P1072" s="3" t="str">
        <f>HYPERLINK("http://dx.doi.org/10.1111/ruso.12514","http://dx.doi.org/10.1111/ruso.12514")</f>
        <v>http://dx.doi.org/10.1111/ruso.12514</v>
      </c>
    </row>
    <row r="1073" spans="1:16" ht="15.75" customHeight="1">
      <c r="A1073" s="1" t="s">
        <v>0</v>
      </c>
      <c r="B1073" s="1" t="s">
        <v>4303</v>
      </c>
      <c r="C1073" s="1" t="s">
        <v>4307</v>
      </c>
      <c r="D1073" s="2" t="s">
        <v>418</v>
      </c>
      <c r="E1073" s="1" t="s">
        <v>7101</v>
      </c>
      <c r="F1073" s="1" t="s">
        <v>4308</v>
      </c>
      <c r="G1073" s="1">
        <v>81</v>
      </c>
      <c r="H1073" s="1">
        <v>0</v>
      </c>
      <c r="I1073" s="1">
        <v>2023</v>
      </c>
      <c r="J1073" s="1">
        <v>14</v>
      </c>
      <c r="O1073" s="1" t="s">
        <v>4309</v>
      </c>
    </row>
    <row r="1074" spans="1:16" ht="15.75" customHeight="1">
      <c r="A1074" s="1" t="s">
        <v>0</v>
      </c>
      <c r="B1074" s="1" t="s">
        <v>6057</v>
      </c>
      <c r="C1074" s="1" t="s">
        <v>6058</v>
      </c>
      <c r="D1074" s="2" t="s">
        <v>418</v>
      </c>
      <c r="E1074" s="1" t="s">
        <v>7103</v>
      </c>
      <c r="F1074" s="1" t="s">
        <v>6059</v>
      </c>
      <c r="G1074" s="1">
        <v>67</v>
      </c>
      <c r="H1074" s="1">
        <v>0</v>
      </c>
      <c r="I1074" s="1">
        <v>2023</v>
      </c>
      <c r="J1074" s="1">
        <v>14</v>
      </c>
      <c r="O1074" s="1" t="s">
        <v>6060</v>
      </c>
    </row>
    <row r="1075" spans="1:16" ht="15.75" customHeight="1">
      <c r="A1075" s="1" t="s">
        <v>10</v>
      </c>
      <c r="B1075" s="1" t="s">
        <v>5335</v>
      </c>
      <c r="C1075" s="1" t="s">
        <v>5336</v>
      </c>
      <c r="D1075" s="1" t="s">
        <v>5337</v>
      </c>
      <c r="E1075" s="1" t="s">
        <v>5338</v>
      </c>
      <c r="F1075" s="1" t="s">
        <v>5339</v>
      </c>
      <c r="H1075" s="1">
        <v>0</v>
      </c>
      <c r="I1075" s="1">
        <v>2023</v>
      </c>
      <c r="K1075" s="1">
        <v>59</v>
      </c>
      <c r="O1075" s="1" t="s">
        <v>5340</v>
      </c>
    </row>
    <row r="1076" spans="1:16" ht="15.75" customHeight="1">
      <c r="A1076" s="1" t="s">
        <v>10</v>
      </c>
      <c r="B1076" s="1" t="s">
        <v>3095</v>
      </c>
      <c r="C1076" s="1" t="s">
        <v>3096</v>
      </c>
      <c r="D1076" s="1" t="s">
        <v>3097</v>
      </c>
      <c r="E1076" s="1" t="s">
        <v>3098</v>
      </c>
      <c r="F1076" s="1" t="s">
        <v>3099</v>
      </c>
      <c r="H1076" s="1">
        <v>0</v>
      </c>
      <c r="I1076" s="1">
        <v>2023</v>
      </c>
      <c r="J1076" s="1">
        <v>18</v>
      </c>
      <c r="O1076" s="1" t="s">
        <v>3100</v>
      </c>
    </row>
    <row r="1077" spans="1:16" ht="15.75" customHeight="1">
      <c r="A1077" s="1" t="s">
        <v>0</v>
      </c>
      <c r="B1077" s="1" t="s">
        <v>6605</v>
      </c>
      <c r="C1077" s="1" t="s">
        <v>6606</v>
      </c>
      <c r="D1077" s="1" t="s">
        <v>6607</v>
      </c>
      <c r="E1077" s="1" t="s">
        <v>6608</v>
      </c>
      <c r="F1077" s="1" t="s">
        <v>6609</v>
      </c>
      <c r="G1077" s="1">
        <v>64</v>
      </c>
      <c r="H1077" s="1">
        <v>0</v>
      </c>
      <c r="I1077" s="1">
        <v>2023</v>
      </c>
      <c r="J1077" s="1">
        <v>11</v>
      </c>
      <c r="K1077" s="1">
        <v>1</v>
      </c>
      <c r="L1077" s="1" t="s">
        <v>6</v>
      </c>
      <c r="M1077" s="1" t="s">
        <v>6</v>
      </c>
      <c r="N1077" s="1">
        <v>94</v>
      </c>
      <c r="O1077" s="1" t="s">
        <v>6610</v>
      </c>
      <c r="P1077" s="3" t="str">
        <f>HYPERLINK("http://dx.doi.org/10.1186/s40359-023-01147-w","http://dx.doi.org/10.1186/s40359-023-01147-w")</f>
        <v>http://dx.doi.org/10.1186/s40359-023-01147-w</v>
      </c>
    </row>
    <row r="1078" spans="1:16" ht="15.75" customHeight="1">
      <c r="A1078" s="1" t="s">
        <v>10</v>
      </c>
      <c r="B1078" s="1" t="s">
        <v>6327</v>
      </c>
      <c r="C1078" s="1" t="s">
        <v>6328</v>
      </c>
      <c r="D1078" s="1" t="s">
        <v>6329</v>
      </c>
      <c r="E1078" s="1" t="s">
        <v>6330</v>
      </c>
      <c r="F1078" s="1" t="s">
        <v>6331</v>
      </c>
      <c r="H1078" s="1">
        <v>0</v>
      </c>
      <c r="I1078" s="1">
        <v>2023</v>
      </c>
      <c r="J1078" s="1">
        <v>41</v>
      </c>
      <c r="K1078" s="1">
        <v>7</v>
      </c>
      <c r="O1078" s="1" t="s">
        <v>6332</v>
      </c>
    </row>
    <row r="1079" spans="1:16" ht="15.75" customHeight="1">
      <c r="A1079" s="1" t="s">
        <v>10</v>
      </c>
      <c r="B1079" s="1" t="s">
        <v>2636</v>
      </c>
      <c r="C1079" s="1" t="s">
        <v>2637</v>
      </c>
      <c r="D1079" s="1" t="s">
        <v>709</v>
      </c>
      <c r="E1079" s="1" t="s">
        <v>2638</v>
      </c>
      <c r="F1079" s="1" t="s">
        <v>2639</v>
      </c>
      <c r="H1079" s="1">
        <v>0</v>
      </c>
      <c r="I1079" s="1">
        <v>2023</v>
      </c>
      <c r="J1079" s="1">
        <v>97</v>
      </c>
      <c r="O1079" s="1" t="s">
        <v>2640</v>
      </c>
    </row>
    <row r="1080" spans="1:16" ht="15.75" customHeight="1">
      <c r="A1080" s="1" t="s">
        <v>10</v>
      </c>
      <c r="B1080" s="1" t="s">
        <v>1432</v>
      </c>
      <c r="C1080" s="1" t="s">
        <v>1433</v>
      </c>
      <c r="D1080" s="1" t="s">
        <v>1434</v>
      </c>
      <c r="E1080" s="1" t="s">
        <v>1435</v>
      </c>
      <c r="F1080" s="1" t="s">
        <v>1436</v>
      </c>
      <c r="H1080" s="1">
        <v>0</v>
      </c>
      <c r="I1080" s="1">
        <v>2023</v>
      </c>
      <c r="J1080" s="1">
        <v>20</v>
      </c>
      <c r="O1080" s="1" t="s">
        <v>1437</v>
      </c>
    </row>
    <row r="1081" spans="1:16" ht="15.75" customHeight="1">
      <c r="A1081" s="1" t="s">
        <v>463</v>
      </c>
      <c r="B1081" s="1" t="s">
        <v>2668</v>
      </c>
      <c r="C1081" s="1" t="s">
        <v>2669</v>
      </c>
      <c r="D1081" s="1" t="s">
        <v>2670</v>
      </c>
      <c r="E1081" s="1" t="s">
        <v>2671</v>
      </c>
      <c r="F1081" s="1" t="s">
        <v>2672</v>
      </c>
      <c r="H1081" s="1">
        <v>0</v>
      </c>
      <c r="I1081" s="1">
        <v>2023</v>
      </c>
      <c r="O1081" s="1" t="s">
        <v>2673</v>
      </c>
    </row>
    <row r="1082" spans="1:16" ht="15.75" customHeight="1">
      <c r="A1082" s="1" t="s">
        <v>10</v>
      </c>
      <c r="B1082" s="1" t="s">
        <v>1916</v>
      </c>
      <c r="C1082" s="1" t="s">
        <v>1917</v>
      </c>
      <c r="D1082" s="1" t="s">
        <v>1726</v>
      </c>
      <c r="E1082" s="1" t="s">
        <v>1918</v>
      </c>
      <c r="F1082" s="1" t="s">
        <v>1919</v>
      </c>
      <c r="H1082" s="1">
        <v>0</v>
      </c>
      <c r="I1082" s="1">
        <v>2023</v>
      </c>
      <c r="J1082" s="1">
        <v>146</v>
      </c>
      <c r="O1082" s="1" t="s">
        <v>1920</v>
      </c>
    </row>
    <row r="1083" spans="1:16" ht="15.75" customHeight="1">
      <c r="A1083" s="1" t="s">
        <v>10</v>
      </c>
      <c r="B1083" s="1" t="s">
        <v>6468</v>
      </c>
      <c r="C1083" s="1" t="s">
        <v>6469</v>
      </c>
      <c r="D1083" s="1" t="s">
        <v>4900</v>
      </c>
      <c r="E1083" s="1" t="s">
        <v>6470</v>
      </c>
      <c r="F1083" s="1" t="s">
        <v>6471</v>
      </c>
      <c r="H1083" s="1">
        <v>0</v>
      </c>
      <c r="I1083" s="1">
        <v>2023</v>
      </c>
      <c r="J1083" s="1">
        <v>58</v>
      </c>
      <c r="K1083" s="1">
        <v>3</v>
      </c>
      <c r="O1083" s="1" t="s">
        <v>6472</v>
      </c>
    </row>
    <row r="1084" spans="1:16" ht="15.75" customHeight="1">
      <c r="A1084" s="1" t="s">
        <v>10</v>
      </c>
      <c r="B1084" s="1" t="s">
        <v>4534</v>
      </c>
      <c r="C1084" s="1" t="s">
        <v>4535</v>
      </c>
      <c r="D1084" s="1" t="s">
        <v>721</v>
      </c>
      <c r="E1084" s="1" t="s">
        <v>4536</v>
      </c>
      <c r="F1084" s="1" t="s">
        <v>4537</v>
      </c>
      <c r="H1084" s="1">
        <v>0</v>
      </c>
      <c r="I1084" s="1">
        <v>2023</v>
      </c>
      <c r="J1084" s="1">
        <v>31</v>
      </c>
      <c r="K1084" s="1">
        <v>67</v>
      </c>
      <c r="O1084" s="1" t="s">
        <v>4538</v>
      </c>
    </row>
    <row r="1085" spans="1:16" ht="15.75" customHeight="1">
      <c r="A1085" s="1" t="s">
        <v>0</v>
      </c>
      <c r="B1085" s="1" t="s">
        <v>5456</v>
      </c>
      <c r="C1085" s="1" t="s">
        <v>5457</v>
      </c>
      <c r="D1085" s="1" t="s">
        <v>732</v>
      </c>
      <c r="E1085" s="1" t="s">
        <v>5458</v>
      </c>
      <c r="F1085" s="1" t="s">
        <v>5459</v>
      </c>
      <c r="G1085" s="1">
        <v>98</v>
      </c>
      <c r="H1085" s="1">
        <v>0</v>
      </c>
      <c r="I1085" s="1">
        <v>2023</v>
      </c>
      <c r="J1085" s="1">
        <v>31</v>
      </c>
      <c r="K1085" s="1" t="s">
        <v>396</v>
      </c>
      <c r="O1085" s="1" t="s">
        <v>4538</v>
      </c>
    </row>
    <row r="1086" spans="1:16" ht="15.75" customHeight="1">
      <c r="A1086" s="1" t="s">
        <v>10</v>
      </c>
      <c r="B1086" s="1" t="s">
        <v>988</v>
      </c>
      <c r="C1086" s="1" t="s">
        <v>989</v>
      </c>
      <c r="D1086" s="1" t="s">
        <v>990</v>
      </c>
      <c r="E1086" s="1" t="s">
        <v>991</v>
      </c>
      <c r="F1086" s="1" t="s">
        <v>992</v>
      </c>
      <c r="H1086" s="1">
        <v>0</v>
      </c>
      <c r="I1086" s="1">
        <v>2023</v>
      </c>
      <c r="J1086" s="1">
        <v>16</v>
      </c>
      <c r="K1086" s="1">
        <v>5</v>
      </c>
      <c r="O1086" s="1" t="s">
        <v>993</v>
      </c>
    </row>
    <row r="1087" spans="1:16" ht="15.75" customHeight="1">
      <c r="A1087" s="1" t="s">
        <v>10</v>
      </c>
      <c r="B1087" s="1" t="s">
        <v>2841</v>
      </c>
      <c r="C1087" s="1" t="s">
        <v>2842</v>
      </c>
      <c r="D1087" s="1" t="s">
        <v>2618</v>
      </c>
      <c r="E1087" s="1" t="s">
        <v>2843</v>
      </c>
      <c r="F1087" s="1" t="s">
        <v>2844</v>
      </c>
      <c r="H1087" s="1">
        <v>0</v>
      </c>
      <c r="I1087" s="1">
        <v>2023</v>
      </c>
      <c r="K1087" s="1">
        <v>133</v>
      </c>
      <c r="O1087" s="1" t="s">
        <v>2845</v>
      </c>
    </row>
    <row r="1088" spans="1:16" ht="15.75" customHeight="1">
      <c r="A1088" s="1" t="s">
        <v>31</v>
      </c>
      <c r="B1088" s="1" t="s">
        <v>3585</v>
      </c>
      <c r="C1088" s="1" t="s">
        <v>3586</v>
      </c>
      <c r="D1088" s="1" t="s">
        <v>3586</v>
      </c>
      <c r="E1088" s="1" t="s">
        <v>3587</v>
      </c>
      <c r="F1088" s="1" t="s">
        <v>3588</v>
      </c>
      <c r="H1088" s="1">
        <v>0</v>
      </c>
      <c r="I1088" s="1">
        <v>2023</v>
      </c>
      <c r="O1088" s="1" t="s">
        <v>3589</v>
      </c>
    </row>
    <row r="1089" spans="1:16" ht="15.75" customHeight="1">
      <c r="A1089" s="1" t="s">
        <v>0</v>
      </c>
      <c r="B1089" s="1" t="s">
        <v>5404</v>
      </c>
      <c r="C1089" s="1" t="s">
        <v>5405</v>
      </c>
      <c r="D1089" s="1" t="s">
        <v>5406</v>
      </c>
      <c r="E1089" s="1" t="s">
        <v>5407</v>
      </c>
      <c r="F1089" s="1" t="s">
        <v>5408</v>
      </c>
      <c r="G1089" s="1">
        <v>66</v>
      </c>
      <c r="H1089" s="1">
        <v>0</v>
      </c>
      <c r="I1089" s="1">
        <v>2023</v>
      </c>
      <c r="J1089" s="1" t="s">
        <v>6</v>
      </c>
      <c r="K1089" s="1">
        <v>42</v>
      </c>
      <c r="L1089" s="1">
        <v>142</v>
      </c>
      <c r="M1089" s="1">
        <v>168</v>
      </c>
      <c r="N1089" s="1" t="s">
        <v>6</v>
      </c>
      <c r="O1089" s="1" t="s">
        <v>6</v>
      </c>
      <c r="P1089" s="1" t="s">
        <v>6</v>
      </c>
    </row>
    <row r="1090" spans="1:16" ht="15.75" customHeight="1">
      <c r="A1090" s="1" t="s">
        <v>0</v>
      </c>
      <c r="B1090" s="1" t="s">
        <v>2751</v>
      </c>
      <c r="C1090" s="1" t="s">
        <v>2752</v>
      </c>
      <c r="D1090" s="1" t="s">
        <v>2753</v>
      </c>
      <c r="E1090" s="1" t="s">
        <v>2754</v>
      </c>
      <c r="F1090" s="1" t="s">
        <v>2755</v>
      </c>
      <c r="G1090" s="1">
        <v>78</v>
      </c>
      <c r="H1090" s="1">
        <v>0</v>
      </c>
      <c r="I1090" s="1">
        <v>2023</v>
      </c>
      <c r="J1090" s="1">
        <v>29</v>
      </c>
      <c r="K1090" s="1" t="s">
        <v>605</v>
      </c>
      <c r="O1090" s="1" t="s">
        <v>2756</v>
      </c>
    </row>
    <row r="1091" spans="1:16" ht="15.75" customHeight="1">
      <c r="A1091" s="1" t="s">
        <v>10</v>
      </c>
      <c r="B1091" s="1" t="s">
        <v>637</v>
      </c>
      <c r="C1091" s="1" t="s">
        <v>638</v>
      </c>
      <c r="D1091" s="1" t="s">
        <v>639</v>
      </c>
      <c r="E1091" s="1" t="s">
        <v>640</v>
      </c>
      <c r="F1091" s="1" t="s">
        <v>641</v>
      </c>
      <c r="H1091" s="1">
        <v>0</v>
      </c>
      <c r="I1091" s="1">
        <v>2023</v>
      </c>
      <c r="K1091" s="1">
        <v>91</v>
      </c>
      <c r="O1091" s="1" t="s">
        <v>642</v>
      </c>
    </row>
    <row r="1092" spans="1:16" ht="15.75" customHeight="1">
      <c r="A1092" s="1" t="s">
        <v>10</v>
      </c>
      <c r="B1092" s="1" t="s">
        <v>3865</v>
      </c>
      <c r="C1092" s="1" t="s">
        <v>3866</v>
      </c>
      <c r="D1092" s="1" t="s">
        <v>1892</v>
      </c>
      <c r="E1092" s="1" t="s">
        <v>3867</v>
      </c>
      <c r="F1092" s="1" t="s">
        <v>3868</v>
      </c>
      <c r="H1092" s="1">
        <v>0</v>
      </c>
      <c r="I1092" s="1">
        <v>2023</v>
      </c>
      <c r="J1092" s="1">
        <v>24</v>
      </c>
      <c r="O1092" s="1" t="s">
        <v>3869</v>
      </c>
    </row>
    <row r="1093" spans="1:16" ht="15.75" customHeight="1">
      <c r="A1093" s="1" t="s">
        <v>10</v>
      </c>
      <c r="B1093" s="1" t="s">
        <v>5723</v>
      </c>
      <c r="C1093" s="1" t="s">
        <v>5724</v>
      </c>
      <c r="D1093" s="1" t="s">
        <v>1847</v>
      </c>
      <c r="E1093" s="1" t="s">
        <v>5725</v>
      </c>
      <c r="F1093" s="1" t="s">
        <v>5726</v>
      </c>
      <c r="H1093" s="1">
        <v>0</v>
      </c>
      <c r="I1093" s="1">
        <v>2023</v>
      </c>
      <c r="J1093" s="1">
        <v>39</v>
      </c>
      <c r="K1093" s="1" t="s">
        <v>5727</v>
      </c>
      <c r="O1093" s="1" t="s">
        <v>5728</v>
      </c>
    </row>
    <row r="1094" spans="1:16" ht="15.75" customHeight="1">
      <c r="A1094" s="1" t="s">
        <v>463</v>
      </c>
      <c r="B1094" s="1" t="s">
        <v>3386</v>
      </c>
      <c r="C1094" s="1" t="s">
        <v>3387</v>
      </c>
      <c r="D1094" s="1" t="s">
        <v>3388</v>
      </c>
      <c r="E1094" s="1" t="s">
        <v>3389</v>
      </c>
      <c r="F1094" s="1" t="s">
        <v>3390</v>
      </c>
      <c r="H1094" s="1">
        <v>0</v>
      </c>
      <c r="I1094" s="1">
        <v>2023</v>
      </c>
      <c r="O1094" s="1" t="s">
        <v>3391</v>
      </c>
    </row>
    <row r="1095" spans="1:16" ht="15.75" customHeight="1">
      <c r="A1095" s="1" t="s">
        <v>463</v>
      </c>
      <c r="B1095" s="1" t="s">
        <v>3368</v>
      </c>
      <c r="C1095" s="1" t="s">
        <v>3369</v>
      </c>
      <c r="D1095" s="1" t="s">
        <v>3370</v>
      </c>
      <c r="E1095" s="1" t="s">
        <v>3371</v>
      </c>
      <c r="F1095" s="1" t="s">
        <v>3372</v>
      </c>
      <c r="H1095" s="1">
        <v>0</v>
      </c>
      <c r="I1095" s="1">
        <v>2023</v>
      </c>
      <c r="J1095" s="1" t="s">
        <v>3373</v>
      </c>
      <c r="O1095" s="1" t="s">
        <v>3374</v>
      </c>
    </row>
    <row r="1096" spans="1:16" ht="15.75" customHeight="1">
      <c r="A1096" s="1" t="s">
        <v>10</v>
      </c>
      <c r="B1096" s="1" t="s">
        <v>3557</v>
      </c>
      <c r="C1096" s="1" t="s">
        <v>3558</v>
      </c>
      <c r="D1096" s="1" t="s">
        <v>3559</v>
      </c>
      <c r="E1096" s="1" t="s">
        <v>3560</v>
      </c>
      <c r="F1096" s="1" t="s">
        <v>3561</v>
      </c>
      <c r="H1096" s="1">
        <v>0</v>
      </c>
      <c r="I1096" s="1">
        <v>2023</v>
      </c>
      <c r="J1096" s="1">
        <v>43</v>
      </c>
      <c r="K1096" s="1">
        <v>2</v>
      </c>
      <c r="O1096" s="1" t="s">
        <v>3562</v>
      </c>
    </row>
    <row r="1097" spans="1:16" ht="15.75" customHeight="1">
      <c r="A1097" s="1" t="s">
        <v>10</v>
      </c>
      <c r="B1097" s="1" t="s">
        <v>3328</v>
      </c>
      <c r="C1097" s="1" t="s">
        <v>3329</v>
      </c>
      <c r="D1097" s="1" t="s">
        <v>3330</v>
      </c>
      <c r="E1097" s="1" t="s">
        <v>3331</v>
      </c>
      <c r="F1097" s="1" t="s">
        <v>3332</v>
      </c>
      <c r="H1097" s="1">
        <v>0</v>
      </c>
      <c r="I1097" s="1">
        <v>2023</v>
      </c>
      <c r="J1097" s="1">
        <v>10</v>
      </c>
      <c r="K1097" s="1">
        <v>29</v>
      </c>
      <c r="O1097" s="1" t="s">
        <v>3333</v>
      </c>
    </row>
    <row r="1098" spans="1:16" ht="15.75" customHeight="1">
      <c r="A1098" s="1" t="s">
        <v>10</v>
      </c>
      <c r="B1098" s="1" t="s">
        <v>3311</v>
      </c>
      <c r="C1098" s="1" t="s">
        <v>3312</v>
      </c>
      <c r="D1098" s="1" t="s">
        <v>644</v>
      </c>
      <c r="E1098" s="1" t="s">
        <v>3313</v>
      </c>
      <c r="F1098" s="1" t="s">
        <v>3314</v>
      </c>
      <c r="H1098" s="1">
        <v>0</v>
      </c>
      <c r="I1098" s="1">
        <v>2023</v>
      </c>
      <c r="J1098" s="1">
        <v>42</v>
      </c>
      <c r="O1098" s="1" t="s">
        <v>3315</v>
      </c>
    </row>
    <row r="1099" spans="1:16" ht="15.75" customHeight="1">
      <c r="A1099" s="1" t="s">
        <v>10</v>
      </c>
      <c r="B1099" s="1" t="s">
        <v>4434</v>
      </c>
      <c r="C1099" s="1" t="s">
        <v>4435</v>
      </c>
      <c r="D1099" s="1" t="s">
        <v>786</v>
      </c>
      <c r="E1099" s="1" t="s">
        <v>4436</v>
      </c>
      <c r="F1099" s="1" t="s">
        <v>4437</v>
      </c>
      <c r="H1099" s="1">
        <v>0</v>
      </c>
      <c r="I1099" s="1">
        <v>2023</v>
      </c>
      <c r="J1099" s="1">
        <v>7</v>
      </c>
      <c r="O1099" s="1" t="s">
        <v>4438</v>
      </c>
    </row>
    <row r="1100" spans="1:16" ht="15.75" customHeight="1">
      <c r="A1100" s="1" t="s">
        <v>0</v>
      </c>
      <c r="B1100" s="1" t="s">
        <v>391</v>
      </c>
      <c r="C1100" s="1" t="s">
        <v>392</v>
      </c>
      <c r="D1100" s="2" t="s">
        <v>393</v>
      </c>
      <c r="E1100" s="1" t="s">
        <v>394</v>
      </c>
      <c r="F1100" s="1" t="s">
        <v>395</v>
      </c>
      <c r="G1100" s="1">
        <v>51</v>
      </c>
      <c r="H1100" s="1">
        <v>0</v>
      </c>
      <c r="I1100" s="1">
        <v>2023</v>
      </c>
      <c r="J1100" s="1">
        <v>31</v>
      </c>
      <c r="K1100" s="1" t="s">
        <v>396</v>
      </c>
      <c r="O1100" s="1" t="s">
        <v>397</v>
      </c>
    </row>
    <row r="1101" spans="1:16" ht="15.75" customHeight="1">
      <c r="A1101" s="1" t="s">
        <v>0</v>
      </c>
      <c r="B1101" s="1" t="s">
        <v>6238</v>
      </c>
      <c r="C1101" s="1" t="s">
        <v>6239</v>
      </c>
      <c r="D1101" s="1" t="s">
        <v>2910</v>
      </c>
      <c r="E1101" s="1" t="s">
        <v>6240</v>
      </c>
      <c r="F1101" s="1" t="s">
        <v>6241</v>
      </c>
      <c r="G1101" s="1">
        <v>38</v>
      </c>
      <c r="H1101" s="1">
        <v>0</v>
      </c>
      <c r="I1101" s="1">
        <v>2023</v>
      </c>
      <c r="J1101" s="1">
        <v>24</v>
      </c>
      <c r="K1101" s="1" t="s">
        <v>6</v>
      </c>
      <c r="L1101" s="1" t="s">
        <v>6</v>
      </c>
      <c r="M1101" s="1" t="s">
        <v>6</v>
      </c>
      <c r="N1101" s="1" t="s">
        <v>6242</v>
      </c>
      <c r="O1101" s="1" t="s">
        <v>6243</v>
      </c>
      <c r="P1101" s="3" t="str">
        <f>HYPERLINK("http://dx.doi.org/10.21670/ref.2302113","http://dx.doi.org/10.21670/ref.2302113")</f>
        <v>http://dx.doi.org/10.21670/ref.2302113</v>
      </c>
    </row>
    <row r="1102" spans="1:16" ht="15.75" customHeight="1">
      <c r="A1102" s="1" t="s">
        <v>0</v>
      </c>
      <c r="B1102" s="2" t="s">
        <v>6350</v>
      </c>
      <c r="C1102" s="1" t="s">
        <v>6361</v>
      </c>
      <c r="D1102" s="1" t="s">
        <v>58</v>
      </c>
      <c r="E1102" s="1" t="s">
        <v>6362</v>
      </c>
      <c r="F1102" s="1" t="s">
        <v>6363</v>
      </c>
      <c r="G1102" s="1">
        <v>86</v>
      </c>
      <c r="H1102" s="1">
        <v>0</v>
      </c>
      <c r="I1102" s="1">
        <v>2023</v>
      </c>
      <c r="J1102" s="1">
        <v>23</v>
      </c>
      <c r="K1102" s="1" t="s">
        <v>6</v>
      </c>
      <c r="L1102" s="1" t="s">
        <v>6</v>
      </c>
      <c r="M1102" s="1" t="s">
        <v>6</v>
      </c>
      <c r="N1102" s="1" t="s">
        <v>6</v>
      </c>
      <c r="O1102" s="1" t="s">
        <v>6364</v>
      </c>
      <c r="P1102" s="3" t="str">
        <f>HYPERLINK("http://dx.doi.org/10.4067/s0719-09482023000100203","http://dx.doi.org/10.4067/s0719-09482023000100203")</f>
        <v>http://dx.doi.org/10.4067/s0719-09482023000100203</v>
      </c>
    </row>
    <row r="1103" spans="1:16" ht="15.75" customHeight="1">
      <c r="A1103" s="1" t="s">
        <v>10</v>
      </c>
      <c r="B1103" s="1" t="s">
        <v>2579</v>
      </c>
      <c r="C1103" s="1" t="s">
        <v>2580</v>
      </c>
      <c r="D1103" s="1" t="s">
        <v>1522</v>
      </c>
      <c r="E1103" s="1" t="s">
        <v>2581</v>
      </c>
      <c r="F1103" s="1" t="s">
        <v>2582</v>
      </c>
      <c r="H1103" s="1">
        <v>0</v>
      </c>
      <c r="I1103" s="1">
        <v>2023</v>
      </c>
      <c r="K1103" s="1">
        <v>70</v>
      </c>
      <c r="O1103" s="1" t="s">
        <v>2583</v>
      </c>
    </row>
    <row r="1104" spans="1:16" ht="15.75" customHeight="1">
      <c r="A1104" s="1" t="s">
        <v>10</v>
      </c>
      <c r="B1104" s="1" t="s">
        <v>3503</v>
      </c>
      <c r="C1104" s="1" t="s">
        <v>3504</v>
      </c>
      <c r="D1104" s="1" t="s">
        <v>3505</v>
      </c>
      <c r="E1104" s="1" t="s">
        <v>3506</v>
      </c>
      <c r="F1104" s="1" t="s">
        <v>3507</v>
      </c>
      <c r="H1104" s="1">
        <v>0</v>
      </c>
      <c r="I1104" s="1">
        <v>2023</v>
      </c>
      <c r="J1104" s="1">
        <v>92</v>
      </c>
      <c r="O1104" s="1" t="s">
        <v>3508</v>
      </c>
    </row>
    <row r="1105" spans="1:16" ht="15.75" customHeight="1">
      <c r="A1105" s="1" t="s">
        <v>10</v>
      </c>
      <c r="B1105" s="1" t="s">
        <v>1774</v>
      </c>
      <c r="C1105" s="1" t="s">
        <v>1775</v>
      </c>
      <c r="D1105" s="1" t="s">
        <v>1776</v>
      </c>
      <c r="E1105" s="1" t="s">
        <v>1777</v>
      </c>
      <c r="F1105" s="1" t="s">
        <v>1778</v>
      </c>
      <c r="H1105" s="1">
        <v>0</v>
      </c>
      <c r="I1105" s="1">
        <v>2023</v>
      </c>
      <c r="K1105" s="1">
        <v>43</v>
      </c>
      <c r="O1105" s="1" t="s">
        <v>1779</v>
      </c>
    </row>
    <row r="1106" spans="1:16" ht="15.75" customHeight="1">
      <c r="A1106" s="1" t="s">
        <v>10</v>
      </c>
      <c r="B1106" s="1" t="s">
        <v>1234</v>
      </c>
      <c r="C1106" s="1" t="s">
        <v>1235</v>
      </c>
      <c r="D1106" s="1" t="s">
        <v>1236</v>
      </c>
      <c r="E1106" s="1" t="s">
        <v>1237</v>
      </c>
      <c r="F1106" s="1" t="s">
        <v>1238</v>
      </c>
      <c r="H1106" s="1">
        <v>0</v>
      </c>
      <c r="I1106" s="1">
        <v>2023</v>
      </c>
      <c r="J1106" s="1">
        <v>41</v>
      </c>
      <c r="K1106" s="1" t="s">
        <v>1239</v>
      </c>
      <c r="O1106" s="1" t="s">
        <v>1240</v>
      </c>
    </row>
    <row r="1107" spans="1:16" ht="15.75" customHeight="1">
      <c r="A1107" s="1" t="s">
        <v>10</v>
      </c>
      <c r="B1107" s="1" t="s">
        <v>4981</v>
      </c>
      <c r="C1107" s="1" t="s">
        <v>4982</v>
      </c>
      <c r="D1107" s="1" t="s">
        <v>94</v>
      </c>
      <c r="E1107" s="1" t="s">
        <v>4983</v>
      </c>
      <c r="F1107" s="1" t="s">
        <v>4984</v>
      </c>
      <c r="H1107" s="1">
        <v>0</v>
      </c>
      <c r="I1107" s="1">
        <v>2023</v>
      </c>
      <c r="J1107" s="1">
        <v>21</v>
      </c>
      <c r="K1107" s="1">
        <v>3</v>
      </c>
      <c r="O1107" s="1" t="s">
        <v>4985</v>
      </c>
    </row>
    <row r="1108" spans="1:16" ht="15.75" customHeight="1">
      <c r="A1108" s="1" t="s">
        <v>10</v>
      </c>
      <c r="B1108" s="1" t="s">
        <v>1061</v>
      </c>
      <c r="C1108" s="1" t="s">
        <v>1062</v>
      </c>
      <c r="D1108" s="1" t="s">
        <v>94</v>
      </c>
      <c r="E1108" s="1" t="s">
        <v>1063</v>
      </c>
      <c r="F1108" s="1" t="s">
        <v>1064</v>
      </c>
      <c r="H1108" s="1">
        <v>0</v>
      </c>
      <c r="I1108" s="1">
        <v>2023</v>
      </c>
      <c r="J1108" s="1">
        <v>21</v>
      </c>
      <c r="K1108" s="1">
        <v>3</v>
      </c>
      <c r="O1108" s="1" t="s">
        <v>1065</v>
      </c>
    </row>
    <row r="1109" spans="1:16" ht="15.75" customHeight="1">
      <c r="A1109" s="1" t="s">
        <v>10</v>
      </c>
      <c r="B1109" s="1" t="s">
        <v>6804</v>
      </c>
      <c r="C1109" s="1" t="s">
        <v>6805</v>
      </c>
      <c r="D1109" s="1" t="s">
        <v>6806</v>
      </c>
      <c r="E1109" s="1" t="s">
        <v>6807</v>
      </c>
      <c r="F1109" s="1" t="s">
        <v>6808</v>
      </c>
      <c r="H1109" s="1">
        <v>0</v>
      </c>
      <c r="I1109" s="1">
        <v>2023</v>
      </c>
      <c r="O1109" s="1" t="s">
        <v>6809</v>
      </c>
    </row>
    <row r="1110" spans="1:16" ht="15.75" customHeight="1">
      <c r="A1110" s="1" t="s">
        <v>10</v>
      </c>
      <c r="B1110" s="1" t="s">
        <v>768</v>
      </c>
      <c r="C1110" s="1" t="s">
        <v>769</v>
      </c>
      <c r="D1110" s="1" t="s">
        <v>770</v>
      </c>
      <c r="E1110" s="1" t="s">
        <v>771</v>
      </c>
      <c r="F1110" s="1" t="s">
        <v>772</v>
      </c>
      <c r="H1110" s="1">
        <v>0</v>
      </c>
      <c r="I1110" s="1">
        <v>2023</v>
      </c>
      <c r="J1110" s="1">
        <v>12</v>
      </c>
      <c r="K1110" s="1">
        <v>5</v>
      </c>
      <c r="O1110" s="1" t="s">
        <v>773</v>
      </c>
    </row>
    <row r="1111" spans="1:16" ht="15.75" customHeight="1">
      <c r="A1111" s="1" t="s">
        <v>10</v>
      </c>
      <c r="B1111" s="1" t="s">
        <v>4456</v>
      </c>
      <c r="C1111" s="1" t="s">
        <v>4457</v>
      </c>
      <c r="D1111" s="1" t="s">
        <v>223</v>
      </c>
      <c r="E1111" s="1" t="s">
        <v>4458</v>
      </c>
      <c r="F1111" s="1" t="s">
        <v>4459</v>
      </c>
      <c r="H1111" s="1">
        <v>0</v>
      </c>
      <c r="I1111" s="1">
        <v>2023</v>
      </c>
      <c r="J1111" s="1">
        <v>2023</v>
      </c>
      <c r="K1111" s="1">
        <v>90</v>
      </c>
      <c r="O1111" s="1" t="s">
        <v>4460</v>
      </c>
    </row>
    <row r="1112" spans="1:16" ht="15.75" customHeight="1">
      <c r="A1112" s="1" t="s">
        <v>10</v>
      </c>
      <c r="B1112" s="1" t="s">
        <v>753</v>
      </c>
      <c r="C1112" s="1" t="s">
        <v>754</v>
      </c>
      <c r="D1112" s="1" t="s">
        <v>755</v>
      </c>
      <c r="E1112" s="1" t="s">
        <v>756</v>
      </c>
      <c r="F1112" s="1" t="s">
        <v>757</v>
      </c>
      <c r="H1112" s="1">
        <v>0</v>
      </c>
      <c r="I1112" s="1">
        <v>2023</v>
      </c>
      <c r="K1112" s="1">
        <v>79</v>
      </c>
    </row>
    <row r="1113" spans="1:16" ht="15.75" customHeight="1">
      <c r="A1113" s="1" t="s">
        <v>10</v>
      </c>
      <c r="B1113" s="1" t="s">
        <v>1695</v>
      </c>
      <c r="C1113" s="1" t="s">
        <v>1696</v>
      </c>
      <c r="D1113" s="1" t="s">
        <v>650</v>
      </c>
      <c r="E1113" s="1" t="s">
        <v>1697</v>
      </c>
      <c r="F1113" s="1" t="s">
        <v>1698</v>
      </c>
      <c r="H1113" s="1">
        <v>0</v>
      </c>
      <c r="I1113" s="1">
        <v>2023</v>
      </c>
      <c r="J1113" s="1">
        <v>2023</v>
      </c>
      <c r="K1113" s="1">
        <v>44</v>
      </c>
      <c r="O1113" s="1" t="s">
        <v>1699</v>
      </c>
    </row>
    <row r="1114" spans="1:16" ht="15.75" customHeight="1">
      <c r="A1114" s="1" t="s">
        <v>0</v>
      </c>
      <c r="B1114" s="1" t="s">
        <v>5021</v>
      </c>
      <c r="C1114" s="1" t="s">
        <v>5022</v>
      </c>
      <c r="D1114" s="1" t="s">
        <v>5023</v>
      </c>
      <c r="E1114" s="1" t="s">
        <v>5024</v>
      </c>
      <c r="F1114" s="1" t="s">
        <v>5025</v>
      </c>
      <c r="G1114" s="1">
        <v>53</v>
      </c>
      <c r="H1114" s="1">
        <v>0</v>
      </c>
      <c r="I1114" s="1">
        <v>2023</v>
      </c>
      <c r="J1114" s="1">
        <v>16</v>
      </c>
      <c r="K1114" s="1">
        <v>3</v>
      </c>
      <c r="L1114" s="1">
        <v>855</v>
      </c>
      <c r="M1114" s="1">
        <v>876</v>
      </c>
      <c r="N1114" s="1" t="s">
        <v>6</v>
      </c>
      <c r="O1114" s="1" t="s">
        <v>6</v>
      </c>
      <c r="P1114" s="1" t="s">
        <v>6</v>
      </c>
    </row>
    <row r="1115" spans="1:16" ht="15.75" customHeight="1">
      <c r="A1115" s="1" t="s">
        <v>10</v>
      </c>
      <c r="B1115" s="1" t="s">
        <v>4606</v>
      </c>
      <c r="C1115" s="2" t="s">
        <v>4607</v>
      </c>
      <c r="D1115" s="1" t="s">
        <v>3751</v>
      </c>
      <c r="E1115" s="1" t="s">
        <v>4608</v>
      </c>
      <c r="F1115" s="1" t="s">
        <v>4609</v>
      </c>
      <c r="H1115" s="1">
        <v>0</v>
      </c>
      <c r="I1115" s="1">
        <v>2023</v>
      </c>
      <c r="J1115" s="1">
        <v>31</v>
      </c>
      <c r="K1115" s="1">
        <v>61</v>
      </c>
      <c r="O1115" s="1" t="s">
        <v>4610</v>
      </c>
    </row>
    <row r="1116" spans="1:16" ht="15.75" customHeight="1">
      <c r="A1116" s="1" t="s">
        <v>10</v>
      </c>
      <c r="B1116" s="1" t="s">
        <v>5832</v>
      </c>
      <c r="C1116" s="1" t="s">
        <v>5833</v>
      </c>
      <c r="D1116" s="1" t="s">
        <v>5834</v>
      </c>
      <c r="E1116" s="1" t="s">
        <v>5835</v>
      </c>
      <c r="F1116" s="1" t="s">
        <v>5836</v>
      </c>
      <c r="H1116" s="1">
        <v>0</v>
      </c>
      <c r="I1116" s="1">
        <v>2023</v>
      </c>
      <c r="J1116" s="1">
        <v>16</v>
      </c>
      <c r="K1116" s="1">
        <v>3</v>
      </c>
      <c r="O1116" s="1" t="s">
        <v>5837</v>
      </c>
    </row>
    <row r="1117" spans="1:16" ht="15.75" customHeight="1">
      <c r="A1117" s="1" t="s">
        <v>10</v>
      </c>
      <c r="B1117" s="1" t="s">
        <v>6701</v>
      </c>
      <c r="C1117" s="1" t="s">
        <v>6707</v>
      </c>
      <c r="D1117" s="1" t="s">
        <v>6708</v>
      </c>
      <c r="E1117" s="1" t="s">
        <v>6709</v>
      </c>
      <c r="F1117" s="1" t="s">
        <v>6710</v>
      </c>
      <c r="H1117" s="1">
        <v>0</v>
      </c>
      <c r="I1117" s="1">
        <v>2023</v>
      </c>
      <c r="O1117" s="1" t="s">
        <v>6711</v>
      </c>
    </row>
    <row r="1118" spans="1:16" ht="15.75" customHeight="1">
      <c r="A1118" s="1" t="s">
        <v>10</v>
      </c>
      <c r="B1118" s="1" t="s">
        <v>1828</v>
      </c>
      <c r="C1118" s="1" t="s">
        <v>1829</v>
      </c>
      <c r="D1118" s="1" t="s">
        <v>650</v>
      </c>
      <c r="E1118" s="1" t="s">
        <v>1830</v>
      </c>
      <c r="F1118" s="1" t="s">
        <v>1831</v>
      </c>
      <c r="H1118" s="1">
        <v>0</v>
      </c>
      <c r="I1118" s="1">
        <v>2023</v>
      </c>
      <c r="J1118" s="1">
        <v>2023</v>
      </c>
      <c r="K1118" s="1">
        <v>44</v>
      </c>
      <c r="O1118" s="1" t="s">
        <v>1832</v>
      </c>
    </row>
    <row r="1119" spans="1:16" ht="15.75" customHeight="1">
      <c r="A1119" s="1" t="s">
        <v>463</v>
      </c>
      <c r="B1119" s="1" t="s">
        <v>5922</v>
      </c>
      <c r="C1119" s="1" t="s">
        <v>5923</v>
      </c>
      <c r="D1119" s="1" t="s">
        <v>5924</v>
      </c>
      <c r="E1119" s="1" t="s">
        <v>5925</v>
      </c>
      <c r="F1119" s="1" t="s">
        <v>5926</v>
      </c>
      <c r="H1119" s="1">
        <v>0</v>
      </c>
      <c r="I1119" s="1">
        <v>2023</v>
      </c>
      <c r="O1119" s="1" t="s">
        <v>5927</v>
      </c>
    </row>
    <row r="1120" spans="1:16" ht="15.75" customHeight="1">
      <c r="A1120" s="1" t="s">
        <v>10</v>
      </c>
      <c r="B1120" s="1" t="s">
        <v>1509</v>
      </c>
      <c r="C1120" s="1" t="s">
        <v>1510</v>
      </c>
      <c r="D1120" s="1" t="s">
        <v>1511</v>
      </c>
      <c r="E1120" s="1" t="s">
        <v>1512</v>
      </c>
      <c r="F1120" s="1" t="s">
        <v>1513</v>
      </c>
      <c r="H1120" s="1">
        <v>0</v>
      </c>
      <c r="I1120" s="1">
        <v>2023</v>
      </c>
      <c r="O1120" s="1" t="s">
        <v>1514</v>
      </c>
    </row>
    <row r="1121" spans="1:16" ht="15.75" customHeight="1">
      <c r="A1121" s="1" t="s">
        <v>10</v>
      </c>
      <c r="B1121" s="1" t="s">
        <v>851</v>
      </c>
      <c r="C1121" s="1" t="s">
        <v>852</v>
      </c>
      <c r="D1121" s="1" t="s">
        <v>853</v>
      </c>
      <c r="E1121" s="1" t="s">
        <v>854</v>
      </c>
      <c r="F1121" s="1" t="s">
        <v>855</v>
      </c>
      <c r="H1121" s="1">
        <v>0</v>
      </c>
      <c r="I1121" s="1">
        <v>2023</v>
      </c>
      <c r="J1121" s="1">
        <v>74</v>
      </c>
      <c r="K1121" s="1">
        <v>5</v>
      </c>
      <c r="O1121" s="1" t="s">
        <v>856</v>
      </c>
    </row>
    <row r="1122" spans="1:16" ht="15.75" customHeight="1">
      <c r="A1122" s="1" t="s">
        <v>0</v>
      </c>
      <c r="B1122" s="1" t="s">
        <v>5480</v>
      </c>
      <c r="C1122" s="1" t="s">
        <v>5481</v>
      </c>
      <c r="D1122" s="1" t="s">
        <v>3249</v>
      </c>
      <c r="E1122" s="1" t="s">
        <v>5482</v>
      </c>
      <c r="F1122" s="1" t="s">
        <v>5483</v>
      </c>
      <c r="G1122" s="1">
        <v>61</v>
      </c>
      <c r="H1122" s="1">
        <v>0</v>
      </c>
      <c r="I1122" s="1">
        <v>2023</v>
      </c>
      <c r="J1122" s="1">
        <v>44</v>
      </c>
      <c r="K1122" s="1">
        <v>8</v>
      </c>
      <c r="L1122" s="1">
        <v>1286</v>
      </c>
      <c r="M1122" s="1">
        <v>1303</v>
      </c>
      <c r="N1122" s="1" t="s">
        <v>6</v>
      </c>
      <c r="O1122" s="1" t="s">
        <v>5484</v>
      </c>
      <c r="P1122" s="3" t="str">
        <f>HYPERLINK("http://dx.doi.org/10.1080/01425692.2023.2284648","http://dx.doi.org/10.1080/01425692.2023.2284648")</f>
        <v>http://dx.doi.org/10.1080/01425692.2023.2284648</v>
      </c>
    </row>
    <row r="1123" spans="1:16" ht="15.75" customHeight="1">
      <c r="A1123" s="1" t="s">
        <v>0</v>
      </c>
      <c r="B1123" s="1" t="s">
        <v>2383</v>
      </c>
      <c r="C1123" s="1" t="s">
        <v>2384</v>
      </c>
      <c r="D1123" s="1" t="s">
        <v>609</v>
      </c>
      <c r="E1123" s="1" t="s">
        <v>2385</v>
      </c>
      <c r="F1123" s="1" t="s">
        <v>2386</v>
      </c>
      <c r="G1123" s="1">
        <v>47</v>
      </c>
      <c r="H1123" s="1">
        <v>0</v>
      </c>
      <c r="I1123" s="1">
        <v>2023</v>
      </c>
      <c r="J1123" s="1" t="s">
        <v>6</v>
      </c>
      <c r="K1123" s="1">
        <v>133</v>
      </c>
      <c r="L1123" s="1">
        <v>65</v>
      </c>
      <c r="M1123" s="1">
        <v>89</v>
      </c>
      <c r="N1123" s="1" t="s">
        <v>6</v>
      </c>
      <c r="O1123" s="1" t="s">
        <v>2387</v>
      </c>
      <c r="P1123" s="3" t="str">
        <f>HYPERLINK("http://dx.doi.org/10.24241/rcai.2023.133.1.65","http://dx.doi.org/10.24241/rcai.2023.133.1.65")</f>
        <v>http://dx.doi.org/10.24241/rcai.2023.133.1.65</v>
      </c>
    </row>
    <row r="1124" spans="1:16" ht="15.75" customHeight="1">
      <c r="A1124" s="1" t="s">
        <v>10</v>
      </c>
      <c r="B1124" s="1" t="s">
        <v>4931</v>
      </c>
      <c r="C1124" s="1" t="s">
        <v>4932</v>
      </c>
      <c r="D1124" s="1" t="s">
        <v>4933</v>
      </c>
      <c r="E1124" s="1" t="s">
        <v>4934</v>
      </c>
      <c r="F1124" s="1" t="s">
        <v>4935</v>
      </c>
      <c r="H1124" s="1">
        <v>0</v>
      </c>
      <c r="I1124" s="1">
        <v>2023</v>
      </c>
      <c r="J1124" s="1">
        <v>62</v>
      </c>
      <c r="K1124" s="1">
        <v>2</v>
      </c>
      <c r="O1124" s="1" t="s">
        <v>4936</v>
      </c>
    </row>
    <row r="1125" spans="1:16" ht="15.75" customHeight="1">
      <c r="A1125" s="1" t="s">
        <v>10</v>
      </c>
      <c r="B1125" s="1" t="s">
        <v>1610</v>
      </c>
      <c r="C1125" s="1" t="s">
        <v>1611</v>
      </c>
      <c r="D1125" s="1" t="s">
        <v>1612</v>
      </c>
      <c r="E1125" s="1" t="s">
        <v>1613</v>
      </c>
      <c r="F1125" s="1" t="s">
        <v>1614</v>
      </c>
      <c r="H1125" s="1">
        <v>0</v>
      </c>
      <c r="I1125" s="1">
        <v>2023</v>
      </c>
      <c r="K1125" s="1">
        <v>16</v>
      </c>
    </row>
    <row r="1126" spans="1:16" ht="15.75" customHeight="1">
      <c r="A1126" s="1" t="s">
        <v>463</v>
      </c>
      <c r="B1126" s="1" t="s">
        <v>6109</v>
      </c>
      <c r="C1126" s="1" t="s">
        <v>6110</v>
      </c>
      <c r="D1126" s="1" t="s">
        <v>6111</v>
      </c>
      <c r="E1126" s="1" t="s">
        <v>6112</v>
      </c>
      <c r="F1126" s="1" t="s">
        <v>6113</v>
      </c>
      <c r="H1126" s="1">
        <v>0</v>
      </c>
      <c r="I1126" s="1">
        <v>2023</v>
      </c>
      <c r="O1126" s="1" t="s">
        <v>6114</v>
      </c>
    </row>
    <row r="1127" spans="1:16" ht="15.75" customHeight="1">
      <c r="A1127" s="1" t="s">
        <v>0</v>
      </c>
      <c r="B1127" s="1" t="s">
        <v>5117</v>
      </c>
      <c r="C1127" s="1" t="s">
        <v>5118</v>
      </c>
      <c r="D1127" s="1" t="s">
        <v>5119</v>
      </c>
      <c r="E1127" s="1" t="s">
        <v>5120</v>
      </c>
      <c r="F1127" s="1" t="s">
        <v>5121</v>
      </c>
      <c r="G1127" s="1">
        <v>61</v>
      </c>
      <c r="H1127" s="1">
        <v>0</v>
      </c>
      <c r="I1127" s="1">
        <v>2023</v>
      </c>
      <c r="J1127" s="1">
        <v>43</v>
      </c>
      <c r="K1127" s="1">
        <v>1</v>
      </c>
      <c r="L1127" s="1">
        <v>44</v>
      </c>
      <c r="M1127" s="1">
        <v>65</v>
      </c>
      <c r="N1127" s="1" t="s">
        <v>6</v>
      </c>
      <c r="O1127" s="1" t="s">
        <v>5122</v>
      </c>
      <c r="P1127" s="3" t="str">
        <f>HYPERLINK("http://dx.doi.org/10.1177/0308275X231157552","http://dx.doi.org/10.1177/0308275X231157552")</f>
        <v>http://dx.doi.org/10.1177/0308275X231157552</v>
      </c>
    </row>
    <row r="1128" spans="1:16" ht="15.75" customHeight="1">
      <c r="A1128" s="1" t="s">
        <v>10</v>
      </c>
      <c r="B1128" s="1" t="s">
        <v>1025</v>
      </c>
      <c r="C1128" s="1" t="s">
        <v>1026</v>
      </c>
      <c r="D1128" s="1" t="s">
        <v>1027</v>
      </c>
      <c r="E1128" s="1" t="s">
        <v>1028</v>
      </c>
      <c r="F1128" s="1" t="s">
        <v>1029</v>
      </c>
      <c r="H1128" s="1">
        <v>0</v>
      </c>
      <c r="I1128" s="1">
        <v>2023</v>
      </c>
      <c r="K1128" s="1">
        <v>40</v>
      </c>
      <c r="O1128" s="1" t="s">
        <v>1030</v>
      </c>
    </row>
    <row r="1129" spans="1:16" ht="15.75" customHeight="1">
      <c r="A1129" s="1" t="s">
        <v>0</v>
      </c>
      <c r="B1129" s="1" t="s">
        <v>2651</v>
      </c>
      <c r="C1129" s="2" t="s">
        <v>2652</v>
      </c>
      <c r="D1129" s="1" t="s">
        <v>58</v>
      </c>
      <c r="E1129" s="1" t="s">
        <v>2653</v>
      </c>
      <c r="F1129" s="1" t="s">
        <v>2654</v>
      </c>
      <c r="G1129" s="1">
        <v>51</v>
      </c>
      <c r="H1129" s="1">
        <v>0</v>
      </c>
      <c r="I1129" s="1">
        <v>2023</v>
      </c>
      <c r="J1129" s="1">
        <v>23</v>
      </c>
      <c r="O1129" s="1" t="s">
        <v>2655</v>
      </c>
    </row>
    <row r="1130" spans="1:16" ht="15.75" customHeight="1">
      <c r="A1130" s="1" t="s">
        <v>10</v>
      </c>
      <c r="B1130" s="1" t="s">
        <v>2763</v>
      </c>
      <c r="C1130" s="1" t="s">
        <v>2764</v>
      </c>
      <c r="D1130" s="1" t="s">
        <v>760</v>
      </c>
      <c r="E1130" s="1" t="s">
        <v>2765</v>
      </c>
      <c r="F1130" s="1" t="s">
        <v>2766</v>
      </c>
      <c r="H1130" s="1">
        <v>0</v>
      </c>
      <c r="I1130" s="1">
        <v>2023</v>
      </c>
      <c r="O1130" s="1" t="s">
        <v>2767</v>
      </c>
    </row>
    <row r="1131" spans="1:16" ht="15.75" customHeight="1">
      <c r="A1131" s="1" t="s">
        <v>10</v>
      </c>
      <c r="B1131" s="1" t="s">
        <v>2219</v>
      </c>
      <c r="C1131" s="1" t="s">
        <v>2220</v>
      </c>
      <c r="D1131" s="1" t="s">
        <v>2221</v>
      </c>
      <c r="E1131" s="1" t="s">
        <v>2222</v>
      </c>
      <c r="F1131" s="1" t="s">
        <v>2223</v>
      </c>
      <c r="H1131" s="1">
        <v>0</v>
      </c>
      <c r="I1131" s="1">
        <v>2023</v>
      </c>
      <c r="K1131" s="1">
        <v>61</v>
      </c>
    </row>
    <row r="1132" spans="1:16" ht="15.75" customHeight="1">
      <c r="A1132" s="1" t="s">
        <v>0</v>
      </c>
      <c r="B1132" s="1" t="s">
        <v>5301</v>
      </c>
      <c r="C1132" s="1" t="s">
        <v>5302</v>
      </c>
      <c r="D1132" s="1" t="s">
        <v>2488</v>
      </c>
      <c r="E1132" s="1" t="s">
        <v>5303</v>
      </c>
      <c r="F1132" s="1" t="s">
        <v>5304</v>
      </c>
      <c r="G1132" s="1">
        <v>27</v>
      </c>
      <c r="H1132" s="1">
        <v>0</v>
      </c>
      <c r="I1132" s="1">
        <v>2023</v>
      </c>
      <c r="J1132" s="1" t="s">
        <v>6</v>
      </c>
      <c r="K1132" s="1" t="s">
        <v>6</v>
      </c>
      <c r="L1132" s="1" t="s">
        <v>6</v>
      </c>
      <c r="M1132" s="1" t="s">
        <v>6</v>
      </c>
      <c r="N1132" s="1" t="s">
        <v>6</v>
      </c>
      <c r="O1132" s="1" t="s">
        <v>5305</v>
      </c>
      <c r="P1132" s="3" t="str">
        <f>HYPERLINK("http://dx.doi.org/10.1080/0966369X.2023.2249251","http://dx.doi.org/10.1080/0966369X.2023.2249251")</f>
        <v>http://dx.doi.org/10.1080/0966369X.2023.2249251</v>
      </c>
    </row>
    <row r="1133" spans="1:16" ht="15.75" customHeight="1">
      <c r="A1133" s="1" t="s">
        <v>10</v>
      </c>
      <c r="B1133" s="1" t="s">
        <v>660</v>
      </c>
      <c r="C1133" s="1" t="s">
        <v>661</v>
      </c>
      <c r="D1133" s="1" t="s">
        <v>662</v>
      </c>
      <c r="E1133" s="1" t="s">
        <v>663</v>
      </c>
      <c r="F1133" s="1" t="s">
        <v>664</v>
      </c>
      <c r="H1133" s="1">
        <v>0</v>
      </c>
      <c r="I1133" s="1">
        <v>2023</v>
      </c>
      <c r="O1133" s="1" t="s">
        <v>665</v>
      </c>
    </row>
    <row r="1134" spans="1:16" ht="15.75" customHeight="1">
      <c r="A1134" s="1" t="s">
        <v>10</v>
      </c>
      <c r="B1134" s="1" t="s">
        <v>5868</v>
      </c>
      <c r="C1134" s="1" t="s">
        <v>5869</v>
      </c>
      <c r="D1134" s="1" t="s">
        <v>70</v>
      </c>
      <c r="E1134" s="1" t="s">
        <v>5870</v>
      </c>
      <c r="F1134" s="1" t="s">
        <v>5871</v>
      </c>
      <c r="H1134" s="1">
        <v>0</v>
      </c>
      <c r="I1134" s="1">
        <v>2023</v>
      </c>
      <c r="J1134" s="1">
        <v>14</v>
      </c>
      <c r="O1134" s="1" t="s">
        <v>5872</v>
      </c>
    </row>
    <row r="1135" spans="1:16" ht="15.75" customHeight="1">
      <c r="A1135" s="1" t="s">
        <v>463</v>
      </c>
      <c r="B1135" s="1" t="s">
        <v>2158</v>
      </c>
      <c r="C1135" s="1" t="s">
        <v>2159</v>
      </c>
      <c r="D1135" s="1" t="s">
        <v>2160</v>
      </c>
      <c r="E1135" s="1" t="s">
        <v>2161</v>
      </c>
      <c r="F1135" s="1" t="s">
        <v>2162</v>
      </c>
      <c r="H1135" s="1">
        <v>0</v>
      </c>
      <c r="I1135" s="1">
        <v>2023</v>
      </c>
      <c r="O1135" s="1" t="s">
        <v>2163</v>
      </c>
    </row>
    <row r="1136" spans="1:16" ht="15.75" customHeight="1">
      <c r="A1136" s="1" t="s">
        <v>10</v>
      </c>
      <c r="B1136" s="1" t="s">
        <v>2938</v>
      </c>
      <c r="C1136" s="1" t="s">
        <v>2939</v>
      </c>
      <c r="D1136" s="1" t="s">
        <v>2940</v>
      </c>
      <c r="E1136" s="1" t="s">
        <v>2941</v>
      </c>
      <c r="F1136" s="1" t="s">
        <v>2942</v>
      </c>
      <c r="H1136" s="1">
        <v>0</v>
      </c>
      <c r="I1136" s="1">
        <v>2023</v>
      </c>
      <c r="J1136" s="1">
        <v>17</v>
      </c>
      <c r="K1136" s="1">
        <v>1</v>
      </c>
      <c r="O1136" s="1" t="s">
        <v>2943</v>
      </c>
    </row>
    <row r="1137" spans="1:16" ht="15.75" customHeight="1">
      <c r="A1137" s="1" t="s">
        <v>10</v>
      </c>
      <c r="B1137" s="1" t="s">
        <v>6146</v>
      </c>
      <c r="C1137" s="1" t="s">
        <v>6147</v>
      </c>
      <c r="D1137" s="1" t="s">
        <v>1500</v>
      </c>
      <c r="E1137" s="1" t="s">
        <v>6148</v>
      </c>
      <c r="F1137" s="1" t="s">
        <v>6149</v>
      </c>
      <c r="H1137" s="1">
        <v>0</v>
      </c>
      <c r="I1137" s="1">
        <v>2023</v>
      </c>
      <c r="J1137" s="1">
        <v>2023</v>
      </c>
      <c r="K1137" s="1">
        <v>85</v>
      </c>
      <c r="O1137" s="1" t="s">
        <v>6150</v>
      </c>
    </row>
    <row r="1138" spans="1:16" ht="15.75" customHeight="1">
      <c r="A1138" s="1" t="s">
        <v>10</v>
      </c>
      <c r="B1138" s="1" t="s">
        <v>2132</v>
      </c>
      <c r="C1138" s="1" t="s">
        <v>2133</v>
      </c>
      <c r="D1138" s="1" t="s">
        <v>1500</v>
      </c>
      <c r="E1138" s="1" t="s">
        <v>2134</v>
      </c>
      <c r="F1138" s="1" t="s">
        <v>2135</v>
      </c>
      <c r="H1138" s="1">
        <v>0</v>
      </c>
      <c r="I1138" s="1">
        <v>2023</v>
      </c>
      <c r="J1138" s="1">
        <v>2023</v>
      </c>
      <c r="K1138" s="1">
        <v>86</v>
      </c>
      <c r="O1138" s="1" t="s">
        <v>2136</v>
      </c>
    </row>
    <row r="1139" spans="1:16" ht="15.75" customHeight="1">
      <c r="A1139" s="1" t="s">
        <v>0</v>
      </c>
      <c r="B1139" s="1" t="s">
        <v>5372</v>
      </c>
      <c r="C1139" s="1" t="s">
        <v>5373</v>
      </c>
      <c r="D1139" s="1" t="s">
        <v>5374</v>
      </c>
      <c r="E1139" s="1" t="s">
        <v>5375</v>
      </c>
      <c r="F1139" s="1" t="s">
        <v>5376</v>
      </c>
      <c r="G1139" s="1">
        <v>46</v>
      </c>
      <c r="H1139" s="1">
        <v>0</v>
      </c>
      <c r="I1139" s="1">
        <v>2023</v>
      </c>
      <c r="J1139" s="1">
        <v>38</v>
      </c>
      <c r="K1139" s="1">
        <v>109</v>
      </c>
      <c r="L1139" s="1">
        <v>231</v>
      </c>
      <c r="M1139" s="1">
        <v>254</v>
      </c>
      <c r="N1139" s="1" t="s">
        <v>6</v>
      </c>
      <c r="O1139" s="1" t="s">
        <v>5377</v>
      </c>
      <c r="P1139" s="3" t="str">
        <f>HYPERLINK("http://dx.doi.org/10.5354/0718-8358.2023.67375","http://dx.doi.org/10.5354/0718-8358.2023.67375")</f>
        <v>http://dx.doi.org/10.5354/0718-8358.2023.67375</v>
      </c>
    </row>
    <row r="1140" spans="1:16" ht="15.75" customHeight="1">
      <c r="A1140" s="1" t="s">
        <v>0</v>
      </c>
      <c r="B1140" s="1" t="s">
        <v>1120</v>
      </c>
      <c r="C1140" s="1" t="s">
        <v>1121</v>
      </c>
      <c r="D1140" s="1" t="s">
        <v>1122</v>
      </c>
      <c r="E1140" s="1" t="s">
        <v>1123</v>
      </c>
      <c r="F1140" s="1" t="s">
        <v>1124</v>
      </c>
      <c r="G1140" s="1">
        <v>28</v>
      </c>
      <c r="H1140" s="1">
        <v>0</v>
      </c>
      <c r="I1140" s="1">
        <v>2023</v>
      </c>
      <c r="J1140" s="1">
        <v>4</v>
      </c>
      <c r="K1140" s="1" t="s">
        <v>6</v>
      </c>
      <c r="L1140" s="1" t="s">
        <v>6</v>
      </c>
      <c r="M1140" s="1" t="s">
        <v>6</v>
      </c>
      <c r="N1140" s="1">
        <v>1267156</v>
      </c>
      <c r="O1140" s="1" t="s">
        <v>1125</v>
      </c>
      <c r="P1140" s="3" t="str">
        <f>HYPERLINK("http://dx.doi.org/10.3389/fgwh.2023.1267156","http://dx.doi.org/10.3389/fgwh.2023.1267156")</f>
        <v>http://dx.doi.org/10.3389/fgwh.2023.1267156</v>
      </c>
    </row>
    <row r="1141" spans="1:16" ht="15.75" customHeight="1">
      <c r="A1141" s="1" t="s">
        <v>10</v>
      </c>
      <c r="B1141" s="1" t="s">
        <v>122</v>
      </c>
      <c r="C1141" s="1" t="s">
        <v>123</v>
      </c>
      <c r="D1141" s="1" t="s">
        <v>124</v>
      </c>
      <c r="E1141" s="1" t="s">
        <v>125</v>
      </c>
      <c r="F1141" s="1" t="s">
        <v>126</v>
      </c>
      <c r="H1141" s="1">
        <v>0</v>
      </c>
      <c r="I1141" s="1">
        <v>2023</v>
      </c>
      <c r="J1141" s="1">
        <v>56</v>
      </c>
      <c r="K1141" s="1">
        <v>2</v>
      </c>
      <c r="O1141" s="1" t="s">
        <v>127</v>
      </c>
    </row>
    <row r="1142" spans="1:16" ht="15.75" customHeight="1">
      <c r="A1142" s="1" t="s">
        <v>31</v>
      </c>
      <c r="B1142" s="1" t="s">
        <v>32</v>
      </c>
      <c r="C1142" s="1" t="s">
        <v>33</v>
      </c>
      <c r="D1142" s="1" t="s">
        <v>34</v>
      </c>
      <c r="E1142" s="1" t="s">
        <v>35</v>
      </c>
      <c r="F1142" s="1" t="s">
        <v>36</v>
      </c>
      <c r="H1142" s="1">
        <v>0</v>
      </c>
      <c r="I1142" s="1">
        <v>2023</v>
      </c>
      <c r="O1142" s="1" t="s">
        <v>37</v>
      </c>
    </row>
    <row r="1143" spans="1:16" ht="15.75" customHeight="1">
      <c r="A1143" s="1" t="s">
        <v>10</v>
      </c>
      <c r="B1143" s="1" t="s">
        <v>1277</v>
      </c>
      <c r="C1143" s="1" t="s">
        <v>1278</v>
      </c>
      <c r="D1143" s="1" t="s">
        <v>1279</v>
      </c>
      <c r="E1143" s="1" t="s">
        <v>1280</v>
      </c>
      <c r="F1143" s="1" t="s">
        <v>1281</v>
      </c>
      <c r="H1143" s="1">
        <v>0</v>
      </c>
      <c r="I1143" s="1">
        <v>2023</v>
      </c>
      <c r="J1143" s="1">
        <v>18</v>
      </c>
      <c r="K1143" s="1">
        <v>4</v>
      </c>
      <c r="O1143" s="1" t="s">
        <v>1282</v>
      </c>
    </row>
    <row r="1144" spans="1:16" ht="15.75" customHeight="1">
      <c r="A1144" s="1" t="s">
        <v>10</v>
      </c>
      <c r="B1144" s="1" t="s">
        <v>3749</v>
      </c>
      <c r="C1144" s="1" t="s">
        <v>3750</v>
      </c>
      <c r="D1144" s="1" t="s">
        <v>3751</v>
      </c>
      <c r="E1144" s="1" t="s">
        <v>3752</v>
      </c>
      <c r="F1144" s="1" t="s">
        <v>3753</v>
      </c>
      <c r="H1144" s="1">
        <v>0</v>
      </c>
      <c r="I1144" s="1">
        <v>2023</v>
      </c>
      <c r="J1144" s="1">
        <v>31</v>
      </c>
      <c r="K1144" s="1">
        <v>61</v>
      </c>
      <c r="O1144" s="1" t="s">
        <v>3754</v>
      </c>
    </row>
    <row r="1145" spans="1:16" ht="15.75" customHeight="1">
      <c r="A1145" s="1" t="s">
        <v>31</v>
      </c>
      <c r="B1145" s="1" t="s">
        <v>2881</v>
      </c>
      <c r="C1145" s="1" t="s">
        <v>2882</v>
      </c>
      <c r="D1145" s="1" t="s">
        <v>2883</v>
      </c>
      <c r="E1145" s="1" t="s">
        <v>2884</v>
      </c>
      <c r="F1145" s="1" t="s">
        <v>2885</v>
      </c>
      <c r="H1145" s="1">
        <v>0</v>
      </c>
      <c r="I1145" s="1">
        <v>2023</v>
      </c>
      <c r="O1145" s="1" t="s">
        <v>2886</v>
      </c>
    </row>
    <row r="1146" spans="1:16" ht="15.75" customHeight="1">
      <c r="A1146" s="1" t="s">
        <v>0</v>
      </c>
      <c r="B1146" s="1" t="s">
        <v>1872</v>
      </c>
      <c r="C1146" s="1" t="s">
        <v>1873</v>
      </c>
      <c r="D1146" s="1" t="s">
        <v>1874</v>
      </c>
      <c r="E1146" s="1" t="s">
        <v>1875</v>
      </c>
      <c r="F1146" s="1" t="s">
        <v>1876</v>
      </c>
      <c r="G1146" s="1">
        <v>68</v>
      </c>
      <c r="H1146" s="1">
        <v>0</v>
      </c>
      <c r="I1146" s="1">
        <v>2023</v>
      </c>
      <c r="J1146" s="1">
        <v>59</v>
      </c>
      <c r="K1146" s="1" t="s">
        <v>6</v>
      </c>
      <c r="L1146" s="1" t="s">
        <v>6</v>
      </c>
      <c r="M1146" s="1" t="s">
        <v>6</v>
      </c>
      <c r="N1146" s="1" t="s">
        <v>6</v>
      </c>
      <c r="O1146" s="1" t="s">
        <v>1877</v>
      </c>
      <c r="P1146" s="3" t="str">
        <f>HYPERLINK("http://dx.doi.org/10.14422/mig.2023.021","http://dx.doi.org/10.14422/mig.2023.021")</f>
        <v>http://dx.doi.org/10.14422/mig.2023.021</v>
      </c>
    </row>
    <row r="1147" spans="1:16" ht="15.75" customHeight="1">
      <c r="A1147" s="1" t="s">
        <v>0</v>
      </c>
      <c r="B1147" s="1" t="s">
        <v>1351</v>
      </c>
      <c r="C1147" s="1" t="s">
        <v>1352</v>
      </c>
      <c r="D1147" s="1" t="s">
        <v>3</v>
      </c>
      <c r="E1147" s="1" t="s">
        <v>1353</v>
      </c>
      <c r="F1147" s="1" t="s">
        <v>1354</v>
      </c>
      <c r="G1147" s="1">
        <v>48</v>
      </c>
      <c r="H1147" s="1">
        <v>0</v>
      </c>
      <c r="I1147" s="1">
        <v>2023</v>
      </c>
      <c r="J1147" s="1" t="s">
        <v>6</v>
      </c>
      <c r="K1147" s="1" t="s">
        <v>6</v>
      </c>
      <c r="L1147" s="1" t="s">
        <v>6</v>
      </c>
      <c r="M1147" s="1" t="s">
        <v>6</v>
      </c>
      <c r="N1147" s="1" t="s">
        <v>6</v>
      </c>
      <c r="O1147" s="1" t="s">
        <v>1355</v>
      </c>
      <c r="P1147" s="3" t="str">
        <f>HYPERLINK("http://dx.doi.org/10.1007/s11013-023-09836-2","http://dx.doi.org/10.1007/s11013-023-09836-2")</f>
        <v>http://dx.doi.org/10.1007/s11013-023-09836-2</v>
      </c>
    </row>
    <row r="1148" spans="1:16" ht="15.75" customHeight="1">
      <c r="A1148" s="1" t="s">
        <v>10</v>
      </c>
      <c r="B1148" s="1" t="s">
        <v>298</v>
      </c>
      <c r="C1148" s="1" t="s">
        <v>299</v>
      </c>
      <c r="D1148" s="1" t="s">
        <v>300</v>
      </c>
      <c r="E1148" s="1" t="s">
        <v>301</v>
      </c>
      <c r="F1148" s="1" t="s">
        <v>302</v>
      </c>
      <c r="H1148" s="1">
        <v>0</v>
      </c>
      <c r="I1148" s="1">
        <v>2023</v>
      </c>
      <c r="O1148" s="1" t="s">
        <v>303</v>
      </c>
    </row>
    <row r="1149" spans="1:16" ht="15.75" customHeight="1">
      <c r="A1149" s="1" t="s">
        <v>0</v>
      </c>
      <c r="B1149" s="1" t="s">
        <v>5552</v>
      </c>
      <c r="C1149" s="1" t="s">
        <v>5553</v>
      </c>
      <c r="D1149" s="1" t="s">
        <v>5554</v>
      </c>
      <c r="E1149" s="1" t="s">
        <v>5555</v>
      </c>
      <c r="F1149" s="1" t="s">
        <v>5556</v>
      </c>
      <c r="G1149" s="1">
        <v>63</v>
      </c>
      <c r="H1149" s="1">
        <v>0</v>
      </c>
      <c r="I1149" s="1">
        <v>2023</v>
      </c>
      <c r="J1149" s="1" t="s">
        <v>6</v>
      </c>
      <c r="K1149" s="1" t="s">
        <v>6</v>
      </c>
      <c r="L1149" s="1" t="s">
        <v>6</v>
      </c>
      <c r="M1149" s="1" t="s">
        <v>6</v>
      </c>
      <c r="N1149" s="1" t="s">
        <v>6</v>
      </c>
      <c r="O1149" s="1" t="s">
        <v>5557</v>
      </c>
      <c r="P1149" s="3" t="str">
        <f>HYPERLINK("http://dx.doi.org/10.1080/00343404.2023.2271512","http://dx.doi.org/10.1080/00343404.2023.2271512")</f>
        <v>http://dx.doi.org/10.1080/00343404.2023.2271512</v>
      </c>
    </row>
    <row r="1150" spans="1:16" ht="15.75" customHeight="1">
      <c r="A1150" s="1" t="s">
        <v>0</v>
      </c>
      <c r="B1150" s="1" t="s">
        <v>7020</v>
      </c>
      <c r="C1150" s="1" t="s">
        <v>7021</v>
      </c>
      <c r="D1150" s="1" t="s">
        <v>2910</v>
      </c>
      <c r="E1150" s="1" t="s">
        <v>7022</v>
      </c>
      <c r="F1150" s="1" t="s">
        <v>7023</v>
      </c>
      <c r="G1150" s="1">
        <v>70</v>
      </c>
      <c r="H1150" s="1">
        <v>0</v>
      </c>
      <c r="I1150" s="1">
        <v>2023</v>
      </c>
      <c r="J1150" s="1">
        <v>24</v>
      </c>
      <c r="K1150" s="1" t="s">
        <v>6</v>
      </c>
      <c r="L1150" s="1" t="s">
        <v>6</v>
      </c>
      <c r="M1150" s="1" t="s">
        <v>6</v>
      </c>
      <c r="N1150" s="1" t="s">
        <v>7024</v>
      </c>
      <c r="O1150" s="1" t="s">
        <v>7025</v>
      </c>
      <c r="P1150" s="3" t="str">
        <f>HYPERLINK("http://dx.doi.org/10.21670/ref.2312123","http://dx.doi.org/10.21670/ref.2312123")</f>
        <v>http://dx.doi.org/10.21670/ref.2312123</v>
      </c>
    </row>
    <row r="1151" spans="1:16" ht="15.75" customHeight="1">
      <c r="A1151" s="1" t="s">
        <v>0</v>
      </c>
      <c r="B1151" s="1" t="s">
        <v>187</v>
      </c>
      <c r="C1151" s="1" t="s">
        <v>188</v>
      </c>
      <c r="D1151" s="1" t="s">
        <v>52</v>
      </c>
      <c r="E1151" s="1" t="s">
        <v>189</v>
      </c>
      <c r="F1151" s="1" t="s">
        <v>190</v>
      </c>
      <c r="G1151" s="1">
        <v>38</v>
      </c>
      <c r="H1151" s="1">
        <v>0</v>
      </c>
      <c r="I1151" s="1">
        <v>2023</v>
      </c>
      <c r="J1151" s="1">
        <v>22</v>
      </c>
      <c r="K1151" s="1" t="s">
        <v>191</v>
      </c>
      <c r="O1151" s="1" t="s">
        <v>192</v>
      </c>
    </row>
    <row r="1152" spans="1:16" ht="15.75" customHeight="1">
      <c r="A1152" s="1" t="s">
        <v>0</v>
      </c>
      <c r="B1152" s="1" t="s">
        <v>938</v>
      </c>
      <c r="C1152" s="1" t="s">
        <v>939</v>
      </c>
      <c r="D1152" s="1" t="s">
        <v>732</v>
      </c>
      <c r="E1152" s="1" t="s">
        <v>940</v>
      </c>
      <c r="F1152" s="1" t="s">
        <v>941</v>
      </c>
      <c r="G1152" s="1">
        <v>64</v>
      </c>
      <c r="H1152" s="1">
        <v>0</v>
      </c>
      <c r="I1152" s="1">
        <v>2023</v>
      </c>
      <c r="J1152" s="1">
        <v>31</v>
      </c>
      <c r="K1152" s="1" t="s">
        <v>942</v>
      </c>
      <c r="O1152" s="1" t="s">
        <v>943</v>
      </c>
    </row>
    <row r="1153" spans="1:16" ht="15.75" customHeight="1">
      <c r="A1153" s="1" t="s">
        <v>0</v>
      </c>
      <c r="B1153" s="1" t="s">
        <v>3247</v>
      </c>
      <c r="C1153" s="1" t="s">
        <v>3253</v>
      </c>
      <c r="D1153" s="1" t="s">
        <v>148</v>
      </c>
      <c r="E1153" s="1" t="s">
        <v>3254</v>
      </c>
      <c r="F1153" s="1" t="s">
        <v>3255</v>
      </c>
      <c r="G1153" s="1">
        <v>62</v>
      </c>
      <c r="H1153" s="1">
        <v>0</v>
      </c>
      <c r="I1153" s="1">
        <v>2023</v>
      </c>
      <c r="J1153" s="1">
        <v>31</v>
      </c>
      <c r="K1153" s="1" t="s">
        <v>6</v>
      </c>
      <c r="L1153" s="1" t="s">
        <v>6</v>
      </c>
      <c r="M1153" s="1" t="s">
        <v>6</v>
      </c>
      <c r="N1153" s="1" t="s">
        <v>6</v>
      </c>
      <c r="O1153" s="1" t="s">
        <v>3256</v>
      </c>
      <c r="P1153" s="3" t="str">
        <f>HYPERLINK("http://dx.doi.org/10.14507/epaa.31.7671","http://dx.doi.org/10.14507/epaa.31.7671")</f>
        <v>http://dx.doi.org/10.14507/epaa.31.7671</v>
      </c>
    </row>
    <row r="1154" spans="1:16" ht="15.75" customHeight="1">
      <c r="A1154" s="1" t="s">
        <v>0</v>
      </c>
      <c r="B1154" s="1" t="s">
        <v>2632</v>
      </c>
      <c r="C1154" s="1" t="s">
        <v>2633</v>
      </c>
      <c r="D1154" s="1" t="s">
        <v>58</v>
      </c>
      <c r="E1154" s="1" t="s">
        <v>2634</v>
      </c>
      <c r="F1154" s="1" t="s">
        <v>2635</v>
      </c>
      <c r="G1154" s="1">
        <v>74</v>
      </c>
      <c r="H1154" s="1">
        <v>0</v>
      </c>
      <c r="I1154" s="1">
        <v>2023</v>
      </c>
      <c r="J1154" s="1">
        <v>23</v>
      </c>
      <c r="K1154" s="1" t="s">
        <v>6</v>
      </c>
      <c r="L1154" s="1" t="s">
        <v>6</v>
      </c>
      <c r="M1154" s="1" t="s">
        <v>6</v>
      </c>
      <c r="N1154" s="1" t="s">
        <v>6</v>
      </c>
      <c r="O1154" s="1" t="s">
        <v>6</v>
      </c>
      <c r="P1154" s="1" t="s">
        <v>6</v>
      </c>
    </row>
    <row r="1155" spans="1:16" ht="15.75" customHeight="1">
      <c r="A1155" s="1" t="s">
        <v>10</v>
      </c>
      <c r="B1155" s="1" t="s">
        <v>68</v>
      </c>
      <c r="C1155" s="1" t="s">
        <v>69</v>
      </c>
      <c r="D1155" s="1" t="s">
        <v>70</v>
      </c>
      <c r="E1155" s="1" t="s">
        <v>71</v>
      </c>
      <c r="F1155" s="1" t="s">
        <v>72</v>
      </c>
      <c r="H1155" s="1">
        <v>0</v>
      </c>
      <c r="I1155" s="1">
        <v>2023</v>
      </c>
      <c r="J1155" s="1">
        <v>14</v>
      </c>
      <c r="O1155" s="1" t="s">
        <v>73</v>
      </c>
    </row>
    <row r="1156" spans="1:16" ht="15.75" customHeight="1">
      <c r="A1156" s="1" t="s">
        <v>0</v>
      </c>
      <c r="B1156" s="1" t="s">
        <v>6816</v>
      </c>
      <c r="C1156" s="1" t="s">
        <v>6817</v>
      </c>
      <c r="D1156" s="1" t="s">
        <v>1039</v>
      </c>
      <c r="E1156" s="1" t="s">
        <v>6818</v>
      </c>
      <c r="F1156" s="1" t="s">
        <v>6819</v>
      </c>
      <c r="G1156" s="1">
        <v>59</v>
      </c>
      <c r="H1156" s="1">
        <v>0</v>
      </c>
      <c r="I1156" s="1">
        <v>2023</v>
      </c>
      <c r="J1156" s="1">
        <v>18</v>
      </c>
      <c r="K1156" s="1" t="s">
        <v>6</v>
      </c>
      <c r="L1156" s="1" t="s">
        <v>6</v>
      </c>
      <c r="M1156" s="1" t="s">
        <v>6</v>
      </c>
      <c r="N1156" s="1" t="s">
        <v>6</v>
      </c>
      <c r="O1156" s="1" t="s">
        <v>6</v>
      </c>
      <c r="P1156" s="1" t="s">
        <v>6</v>
      </c>
    </row>
    <row r="1157" spans="1:16" ht="15.75" customHeight="1">
      <c r="A1157" s="1" t="s">
        <v>10</v>
      </c>
      <c r="B1157" s="1" t="s">
        <v>4518</v>
      </c>
      <c r="C1157" s="1" t="s">
        <v>4519</v>
      </c>
      <c r="D1157" s="1" t="s">
        <v>424</v>
      </c>
      <c r="E1157" s="1" t="s">
        <v>4520</v>
      </c>
      <c r="F1157" s="1" t="s">
        <v>4521</v>
      </c>
      <c r="H1157" s="1">
        <v>0</v>
      </c>
      <c r="I1157" s="1">
        <v>2023</v>
      </c>
      <c r="J1157" s="1">
        <v>28</v>
      </c>
      <c r="K1157" s="1">
        <v>102</v>
      </c>
      <c r="O1157" s="1" t="s">
        <v>4522</v>
      </c>
    </row>
    <row r="1158" spans="1:16" ht="15.75" customHeight="1">
      <c r="A1158" s="1" t="s">
        <v>10</v>
      </c>
      <c r="B1158" s="1" t="s">
        <v>5878</v>
      </c>
      <c r="C1158" s="1" t="s">
        <v>5879</v>
      </c>
      <c r="D1158" s="1" t="s">
        <v>1140</v>
      </c>
      <c r="E1158" s="1" t="s">
        <v>5880</v>
      </c>
      <c r="F1158" s="1" t="s">
        <v>5881</v>
      </c>
      <c r="H1158" s="1">
        <v>0</v>
      </c>
      <c r="I1158" s="1">
        <v>2023</v>
      </c>
      <c r="J1158" s="1">
        <v>50</v>
      </c>
      <c r="O1158" s="1" t="s">
        <v>5882</v>
      </c>
    </row>
    <row r="1159" spans="1:16" ht="15.75" customHeight="1">
      <c r="A1159" s="1" t="s">
        <v>10</v>
      </c>
      <c r="B1159" s="1" t="s">
        <v>1823</v>
      </c>
      <c r="C1159" s="1" t="s">
        <v>1824</v>
      </c>
      <c r="D1159" s="1" t="s">
        <v>721</v>
      </c>
      <c r="E1159" s="1" t="s">
        <v>1825</v>
      </c>
      <c r="F1159" s="1" t="s">
        <v>1826</v>
      </c>
      <c r="H1159" s="1">
        <v>0</v>
      </c>
      <c r="I1159" s="1">
        <v>2023</v>
      </c>
      <c r="J1159" s="1">
        <v>31</v>
      </c>
      <c r="K1159" s="1">
        <v>67</v>
      </c>
      <c r="O1159" s="1" t="s">
        <v>1827</v>
      </c>
    </row>
    <row r="1160" spans="1:16" ht="15.75" customHeight="1">
      <c r="A1160" s="1" t="s">
        <v>0</v>
      </c>
      <c r="B1160" s="1" t="s">
        <v>5576</v>
      </c>
      <c r="C1160" s="1" t="s">
        <v>5577</v>
      </c>
      <c r="D1160" s="1" t="s">
        <v>5578</v>
      </c>
      <c r="E1160" s="1" t="s">
        <v>5579</v>
      </c>
      <c r="F1160" s="1" t="s">
        <v>5580</v>
      </c>
      <c r="G1160" s="1">
        <v>70</v>
      </c>
      <c r="H1160" s="1">
        <v>0</v>
      </c>
      <c r="I1160" s="1">
        <v>2023</v>
      </c>
      <c r="J1160" s="1">
        <v>33</v>
      </c>
      <c r="K1160" s="1" t="s">
        <v>378</v>
      </c>
      <c r="O1160" s="1" t="s">
        <v>5581</v>
      </c>
    </row>
    <row r="1161" spans="1:16" ht="15.75" customHeight="1">
      <c r="A1161" s="1" t="s">
        <v>0</v>
      </c>
      <c r="B1161" s="1" t="s">
        <v>6764</v>
      </c>
      <c r="C1161" s="1" t="s">
        <v>6765</v>
      </c>
      <c r="D1161" s="1" t="s">
        <v>996</v>
      </c>
      <c r="E1161" s="1" t="s">
        <v>5579</v>
      </c>
      <c r="F1161" s="1" t="s">
        <v>6766</v>
      </c>
      <c r="G1161" s="1">
        <v>70</v>
      </c>
      <c r="H1161" s="1">
        <v>0</v>
      </c>
      <c r="I1161" s="1">
        <v>2023</v>
      </c>
      <c r="J1161" s="1">
        <v>33</v>
      </c>
      <c r="K1161" s="1">
        <v>1</v>
      </c>
      <c r="L1161" s="1">
        <v>218</v>
      </c>
      <c r="M1161" s="1">
        <v>242</v>
      </c>
      <c r="N1161" s="1" t="s">
        <v>6</v>
      </c>
      <c r="O1161" s="1" t="s">
        <v>6767</v>
      </c>
      <c r="P1161" s="3" t="str">
        <f>HYPERLINK("http://dx.doi.org/10.7770/CUHSD-V33N1-ARTH25","http://dx.doi.org/10.7770/CUHSD-V33N1-ARTH25")</f>
        <v>http://dx.doi.org/10.7770/CUHSD-V33N1-ARTH25</v>
      </c>
    </row>
    <row r="1162" spans="1:16" ht="15.75" customHeight="1">
      <c r="A1162" s="1" t="s">
        <v>0</v>
      </c>
      <c r="B1162" s="1" t="s">
        <v>3396</v>
      </c>
      <c r="C1162" s="1" t="s">
        <v>3397</v>
      </c>
      <c r="D1162" s="1" t="s">
        <v>3398</v>
      </c>
      <c r="E1162" s="1" t="s">
        <v>3399</v>
      </c>
      <c r="F1162" s="1" t="s">
        <v>3400</v>
      </c>
      <c r="G1162" s="1">
        <v>93</v>
      </c>
      <c r="H1162" s="1">
        <v>0</v>
      </c>
      <c r="I1162" s="1">
        <v>2023</v>
      </c>
      <c r="J1162" s="1">
        <v>15</v>
      </c>
      <c r="K1162" s="1">
        <v>1</v>
      </c>
      <c r="L1162" s="1">
        <v>167</v>
      </c>
      <c r="M1162" s="1">
        <v>207</v>
      </c>
      <c r="N1162" s="1" t="s">
        <v>6</v>
      </c>
      <c r="O1162" s="1" t="s">
        <v>3401</v>
      </c>
      <c r="P1162" s="3" t="str">
        <f>HYPERLINK("http://dx.doi.org/10.2924/EJLS.2023.014","http://dx.doi.org/10.2924/EJLS.2023.014")</f>
        <v>http://dx.doi.org/10.2924/EJLS.2023.014</v>
      </c>
    </row>
    <row r="1163" spans="1:16" ht="15.75" customHeight="1">
      <c r="A1163" s="1" t="s">
        <v>10</v>
      </c>
      <c r="B1163" s="1" t="s">
        <v>4194</v>
      </c>
      <c r="C1163" s="1" t="s">
        <v>4195</v>
      </c>
      <c r="D1163" s="1" t="s">
        <v>4196</v>
      </c>
      <c r="E1163" s="1" t="s">
        <v>4197</v>
      </c>
      <c r="F1163" s="1" t="s">
        <v>4198</v>
      </c>
      <c r="H1163" s="1">
        <v>0</v>
      </c>
      <c r="I1163" s="1">
        <v>2023</v>
      </c>
      <c r="J1163" s="1">
        <v>2023</v>
      </c>
      <c r="K1163" s="1">
        <v>67</v>
      </c>
      <c r="O1163" s="1" t="s">
        <v>4199</v>
      </c>
    </row>
    <row r="1164" spans="1:16" ht="15.75" customHeight="1">
      <c r="A1164" s="1" t="s">
        <v>0</v>
      </c>
      <c r="B1164" s="1" t="s">
        <v>5095</v>
      </c>
      <c r="C1164" s="1" t="s">
        <v>5096</v>
      </c>
      <c r="D1164" s="1" t="s">
        <v>3431</v>
      </c>
      <c r="E1164" s="1" t="s">
        <v>5097</v>
      </c>
      <c r="F1164" s="1" t="s">
        <v>5098</v>
      </c>
      <c r="G1164" s="1">
        <v>36</v>
      </c>
      <c r="H1164" s="1">
        <v>0</v>
      </c>
      <c r="I1164" s="1">
        <v>2023</v>
      </c>
      <c r="J1164" s="1">
        <v>12</v>
      </c>
      <c r="K1164" s="1">
        <v>2</v>
      </c>
      <c r="L1164" s="1">
        <v>115</v>
      </c>
      <c r="M1164" s="1">
        <v>134</v>
      </c>
      <c r="N1164" s="1" t="s">
        <v>6</v>
      </c>
      <c r="O1164" s="1" t="s">
        <v>5099</v>
      </c>
      <c r="P1164" s="3" t="str">
        <f>HYPERLINK("http://dx.doi.org/10.15366/riejs2023.12.2.007","http://dx.doi.org/10.15366/riejs2023.12.2.007")</f>
        <v>http://dx.doi.org/10.15366/riejs2023.12.2.007</v>
      </c>
    </row>
    <row r="1165" spans="1:16" ht="15.75" customHeight="1">
      <c r="A1165" s="1" t="s">
        <v>10</v>
      </c>
      <c r="B1165" s="1" t="s">
        <v>1538</v>
      </c>
      <c r="C1165" s="1" t="s">
        <v>1539</v>
      </c>
      <c r="D1165" s="1" t="s">
        <v>721</v>
      </c>
      <c r="E1165" s="1" t="s">
        <v>1540</v>
      </c>
      <c r="F1165" s="1" t="s">
        <v>1541</v>
      </c>
      <c r="H1165" s="1">
        <v>0</v>
      </c>
      <c r="I1165" s="1">
        <v>2023</v>
      </c>
      <c r="J1165" s="1">
        <v>31</v>
      </c>
      <c r="K1165" s="1">
        <v>68</v>
      </c>
      <c r="O1165" s="1" t="s">
        <v>1542</v>
      </c>
    </row>
    <row r="1166" spans="1:16" ht="15.75" customHeight="1">
      <c r="A1166" s="1" t="s">
        <v>463</v>
      </c>
      <c r="B1166" s="1" t="s">
        <v>5015</v>
      </c>
      <c r="C1166" s="1" t="s">
        <v>5016</v>
      </c>
      <c r="D1166" s="1" t="s">
        <v>5017</v>
      </c>
      <c r="E1166" s="1" t="s">
        <v>5018</v>
      </c>
      <c r="F1166" s="1" t="s">
        <v>5019</v>
      </c>
      <c r="H1166" s="1">
        <v>0</v>
      </c>
      <c r="I1166" s="1">
        <v>2023</v>
      </c>
      <c r="O1166" s="1" t="s">
        <v>5020</v>
      </c>
    </row>
    <row r="1167" spans="1:16" ht="15.75" customHeight="1">
      <c r="A1167" s="1" t="s">
        <v>10</v>
      </c>
      <c r="B1167" s="1" t="s">
        <v>966</v>
      </c>
      <c r="C1167" s="1" t="s">
        <v>967</v>
      </c>
      <c r="D1167" s="1" t="s">
        <v>968</v>
      </c>
      <c r="E1167" s="1" t="s">
        <v>969</v>
      </c>
      <c r="F1167" s="1" t="s">
        <v>970</v>
      </c>
      <c r="H1167" s="1">
        <v>0</v>
      </c>
      <c r="I1167" s="1">
        <v>2023</v>
      </c>
      <c r="J1167" s="1">
        <v>33</v>
      </c>
      <c r="K1167" s="1">
        <v>3</v>
      </c>
      <c r="O1167" s="1" t="s">
        <v>971</v>
      </c>
    </row>
    <row r="1168" spans="1:16" ht="15.75" customHeight="1">
      <c r="A1168" s="1" t="s">
        <v>0</v>
      </c>
      <c r="B1168" s="1" t="s">
        <v>6510</v>
      </c>
      <c r="C1168" s="1" t="s">
        <v>6511</v>
      </c>
      <c r="D1168" s="1" t="s">
        <v>6512</v>
      </c>
      <c r="E1168" s="1" t="s">
        <v>6513</v>
      </c>
      <c r="F1168" s="1" t="s">
        <v>6514</v>
      </c>
      <c r="G1168" s="1">
        <v>38</v>
      </c>
      <c r="H1168" s="1">
        <v>0</v>
      </c>
      <c r="I1168" s="1">
        <v>2023</v>
      </c>
      <c r="J1168" s="1">
        <v>199</v>
      </c>
      <c r="K1168" s="1">
        <v>807</v>
      </c>
      <c r="L1168" s="1" t="s">
        <v>6</v>
      </c>
      <c r="M1168" s="1" t="s">
        <v>6</v>
      </c>
      <c r="N1168" s="1" t="s">
        <v>6515</v>
      </c>
      <c r="O1168" s="1" t="s">
        <v>6516</v>
      </c>
      <c r="P1168" s="3" t="str">
        <f>HYPERLINK("http://dx.doi.org/10.3989/arbor.2022.807011","http://dx.doi.org/10.3989/arbor.2022.807011")</f>
        <v>http://dx.doi.org/10.3989/arbor.2022.807011</v>
      </c>
    </row>
    <row r="1169" spans="1:16" ht="15.75" customHeight="1">
      <c r="A1169" s="1" t="s">
        <v>10</v>
      </c>
      <c r="B1169" s="1" t="s">
        <v>3085</v>
      </c>
      <c r="C1169" s="1" t="s">
        <v>3086</v>
      </c>
      <c r="D1169" s="1" t="s">
        <v>3087</v>
      </c>
      <c r="E1169" s="1" t="s">
        <v>3088</v>
      </c>
      <c r="F1169" s="1" t="s">
        <v>3089</v>
      </c>
      <c r="H1169" s="1">
        <v>0</v>
      </c>
      <c r="I1169" s="1">
        <v>2023</v>
      </c>
      <c r="J1169" s="1">
        <v>58</v>
      </c>
      <c r="K1169" s="1">
        <v>2</v>
      </c>
    </row>
    <row r="1170" spans="1:16" ht="15.75" customHeight="1">
      <c r="A1170" s="1" t="s">
        <v>0</v>
      </c>
      <c r="B1170" s="1" t="s">
        <v>3033</v>
      </c>
      <c r="C1170" s="1" t="s">
        <v>3034</v>
      </c>
      <c r="D1170" s="1" t="s">
        <v>58</v>
      </c>
      <c r="E1170" s="1" t="s">
        <v>3035</v>
      </c>
      <c r="F1170" s="1" t="s">
        <v>3036</v>
      </c>
      <c r="G1170" s="1">
        <v>63</v>
      </c>
      <c r="H1170" s="1">
        <v>0</v>
      </c>
      <c r="I1170" s="1">
        <v>2023</v>
      </c>
      <c r="J1170" s="1">
        <v>23</v>
      </c>
      <c r="K1170" s="1" t="s">
        <v>6</v>
      </c>
      <c r="L1170" s="1" t="s">
        <v>6</v>
      </c>
      <c r="M1170" s="1" t="s">
        <v>6</v>
      </c>
      <c r="N1170" s="1" t="s">
        <v>6</v>
      </c>
      <c r="O1170" s="1" t="s">
        <v>6</v>
      </c>
      <c r="P1170" s="1" t="s">
        <v>6</v>
      </c>
    </row>
    <row r="1171" spans="1:16" ht="15.75" customHeight="1">
      <c r="A1171" s="1" t="s">
        <v>0</v>
      </c>
      <c r="B1171" s="1" t="s">
        <v>4862</v>
      </c>
      <c r="C1171" s="1" t="s">
        <v>4863</v>
      </c>
      <c r="D1171" s="1" t="s">
        <v>4864</v>
      </c>
      <c r="E1171" s="1" t="s">
        <v>4865</v>
      </c>
      <c r="F1171" s="1" t="s">
        <v>4866</v>
      </c>
      <c r="G1171" s="1">
        <v>67</v>
      </c>
      <c r="H1171" s="1">
        <v>0</v>
      </c>
      <c r="I1171" s="1">
        <v>2023</v>
      </c>
      <c r="J1171" s="1">
        <v>41</v>
      </c>
      <c r="K1171" s="1" t="s">
        <v>1239</v>
      </c>
      <c r="L1171" s="1">
        <v>65</v>
      </c>
      <c r="M1171" s="1">
        <v>91</v>
      </c>
      <c r="N1171" s="1" t="s">
        <v>6</v>
      </c>
      <c r="O1171" s="1" t="s">
        <v>4867</v>
      </c>
      <c r="P1171" s="3" t="str">
        <f>HYPERLINK("http://dx.doi.org/10.1080/02619288.2023.2277587","http://dx.doi.org/10.1080/02619288.2023.2277587")</f>
        <v>http://dx.doi.org/10.1080/02619288.2023.2277587</v>
      </c>
    </row>
    <row r="1172" spans="1:16" ht="15.75" customHeight="1">
      <c r="A1172" s="1" t="s">
        <v>0</v>
      </c>
      <c r="B1172" s="1" t="s">
        <v>2600</v>
      </c>
      <c r="C1172" s="1" t="s">
        <v>2601</v>
      </c>
      <c r="D1172" s="1" t="s">
        <v>2602</v>
      </c>
      <c r="E1172" s="1" t="s">
        <v>2603</v>
      </c>
      <c r="F1172" s="1" t="s">
        <v>2604</v>
      </c>
      <c r="G1172" s="1">
        <v>59</v>
      </c>
      <c r="H1172" s="1">
        <v>0</v>
      </c>
      <c r="I1172" s="1">
        <v>2023</v>
      </c>
      <c r="J1172" s="1">
        <v>80</v>
      </c>
      <c r="K1172" s="1">
        <v>1</v>
      </c>
      <c r="L1172" s="1">
        <v>103</v>
      </c>
      <c r="M1172" s="1">
        <v>140</v>
      </c>
      <c r="N1172" s="1" t="s">
        <v>6</v>
      </c>
      <c r="O1172" s="1" t="s">
        <v>2605</v>
      </c>
      <c r="P1172" s="3" t="str">
        <f>HYPERLINK("http://dx.doi.org/10.3989/aeamer.2023.1.04","http://dx.doi.org/10.3989/aeamer.2023.1.04")</f>
        <v>http://dx.doi.org/10.3989/aeamer.2023.1.04</v>
      </c>
    </row>
    <row r="1173" spans="1:16" ht="15.75" customHeight="1">
      <c r="A1173" s="1" t="s">
        <v>0</v>
      </c>
      <c r="B1173" s="1" t="s">
        <v>4184</v>
      </c>
      <c r="C1173" s="1" t="s">
        <v>4185</v>
      </c>
      <c r="D1173" s="1" t="s">
        <v>803</v>
      </c>
      <c r="E1173" s="1" t="s">
        <v>4186</v>
      </c>
      <c r="F1173" s="1" t="s">
        <v>4187</v>
      </c>
      <c r="G1173" s="1">
        <v>45</v>
      </c>
      <c r="H1173" s="1">
        <v>0</v>
      </c>
      <c r="I1173" s="1">
        <v>2023</v>
      </c>
      <c r="J1173" s="1">
        <v>33</v>
      </c>
      <c r="K1173" s="1">
        <v>2</v>
      </c>
      <c r="L1173" s="1">
        <v>31</v>
      </c>
      <c r="M1173" s="1">
        <v>46</v>
      </c>
      <c r="N1173" s="1" t="s">
        <v>6</v>
      </c>
      <c r="O1173" s="1" t="s">
        <v>4188</v>
      </c>
      <c r="P1173" s="3" t="str">
        <f>HYPERLINK("http://dx.doi.org/10.15446/bitacora.v33n2.106777","http://dx.doi.org/10.15446/bitacora.v33n2.106777")</f>
        <v>http://dx.doi.org/10.15446/bitacora.v33n2.106777</v>
      </c>
    </row>
    <row r="1174" spans="1:16" ht="15.75" customHeight="1">
      <c r="A1174" s="1" t="s">
        <v>0</v>
      </c>
      <c r="B1174" s="1" t="s">
        <v>1504</v>
      </c>
      <c r="C1174" s="1" t="s">
        <v>1505</v>
      </c>
      <c r="D1174" s="1" t="s">
        <v>1506</v>
      </c>
      <c r="E1174" s="1" t="s">
        <v>1507</v>
      </c>
      <c r="F1174" s="1" t="s">
        <v>1508</v>
      </c>
      <c r="G1174" s="1">
        <v>48</v>
      </c>
      <c r="H1174" s="1">
        <v>0</v>
      </c>
      <c r="I1174" s="1">
        <v>2023</v>
      </c>
      <c r="J1174" s="1">
        <v>27</v>
      </c>
      <c r="K1174" s="1">
        <v>2</v>
      </c>
      <c r="L1174" s="1">
        <v>113</v>
      </c>
      <c r="M1174" s="1">
        <v>137</v>
      </c>
      <c r="N1174" s="1" t="s">
        <v>6</v>
      </c>
      <c r="O1174" s="1" t="s">
        <v>6</v>
      </c>
      <c r="P1174" s="1" t="s">
        <v>6</v>
      </c>
    </row>
    <row r="1175" spans="1:16" ht="15.75" customHeight="1">
      <c r="A1175" s="1" t="s">
        <v>0</v>
      </c>
      <c r="B1175" s="1" t="s">
        <v>5005</v>
      </c>
      <c r="C1175" s="1" t="s">
        <v>5006</v>
      </c>
      <c r="D1175" s="1" t="s">
        <v>572</v>
      </c>
      <c r="E1175" s="1" t="s">
        <v>5007</v>
      </c>
      <c r="F1175" s="1" t="s">
        <v>5008</v>
      </c>
      <c r="G1175" s="1">
        <v>68</v>
      </c>
      <c r="H1175" s="1">
        <v>0</v>
      </c>
      <c r="I1175" s="1">
        <v>2023</v>
      </c>
      <c r="J1175" s="1">
        <v>50</v>
      </c>
      <c r="K1175" s="1">
        <v>95</v>
      </c>
      <c r="L1175" s="1">
        <v>5</v>
      </c>
      <c r="M1175" s="1">
        <v>35</v>
      </c>
      <c r="N1175" s="1" t="s">
        <v>6</v>
      </c>
      <c r="O1175" s="1" t="s">
        <v>5009</v>
      </c>
      <c r="P1175" s="3" t="str">
        <f>HYPERLINK("http://dx.doi.org/10.21678/apuntes.95.1823","http://dx.doi.org/10.21678/apuntes.95.1823")</f>
        <v>http://dx.doi.org/10.21678/apuntes.95.1823</v>
      </c>
    </row>
    <row r="1176" spans="1:16" ht="15.75" customHeight="1">
      <c r="A1176" s="1" t="s">
        <v>0</v>
      </c>
      <c r="B1176" s="1" t="s">
        <v>456</v>
      </c>
      <c r="C1176" s="1" t="s">
        <v>457</v>
      </c>
      <c r="D1176" s="1" t="s">
        <v>458</v>
      </c>
      <c r="E1176" s="1" t="s">
        <v>459</v>
      </c>
      <c r="F1176" s="1" t="s">
        <v>460</v>
      </c>
      <c r="G1176" s="1">
        <v>58</v>
      </c>
      <c r="H1176" s="1">
        <v>0</v>
      </c>
      <c r="I1176" s="1">
        <v>2023</v>
      </c>
      <c r="J1176" s="1">
        <v>22</v>
      </c>
      <c r="K1176" s="1" t="s">
        <v>461</v>
      </c>
      <c r="O1176" s="1" t="s">
        <v>462</v>
      </c>
    </row>
    <row r="1177" spans="1:16" ht="15.75" customHeight="1">
      <c r="A1177" s="1" t="s">
        <v>10</v>
      </c>
      <c r="B1177" s="1" t="s">
        <v>5273</v>
      </c>
      <c r="C1177" s="1" t="s">
        <v>5274</v>
      </c>
      <c r="D1177" s="1" t="s">
        <v>5275</v>
      </c>
      <c r="E1177" s="1" t="s">
        <v>5276</v>
      </c>
      <c r="F1177" s="1" t="s">
        <v>5277</v>
      </c>
      <c r="H1177" s="1">
        <v>0</v>
      </c>
      <c r="I1177" s="1">
        <v>2023</v>
      </c>
      <c r="J1177" s="1">
        <v>20</v>
      </c>
      <c r="K1177" s="1">
        <v>4</v>
      </c>
      <c r="O1177" s="1" t="s">
        <v>5278</v>
      </c>
    </row>
    <row r="1178" spans="1:16" ht="15.75" customHeight="1">
      <c r="A1178" s="1" t="s">
        <v>0</v>
      </c>
      <c r="B1178" s="1" t="s">
        <v>6135</v>
      </c>
      <c r="C1178" s="1" t="s">
        <v>6136</v>
      </c>
      <c r="D1178" s="2" t="s">
        <v>6137</v>
      </c>
      <c r="E1178" s="1" t="s">
        <v>6138</v>
      </c>
      <c r="F1178" s="1" t="s">
        <v>6139</v>
      </c>
      <c r="G1178" s="1">
        <v>64</v>
      </c>
      <c r="H1178" s="1">
        <v>0</v>
      </c>
      <c r="I1178" s="1">
        <v>2023</v>
      </c>
      <c r="J1178" s="1">
        <v>40</v>
      </c>
      <c r="O1178" s="1" t="s">
        <v>6140</v>
      </c>
    </row>
    <row r="1179" spans="1:16" ht="15.75" customHeight="1">
      <c r="A1179" s="1" t="s">
        <v>0</v>
      </c>
      <c r="B1179" s="1" t="s">
        <v>1211</v>
      </c>
      <c r="C1179" s="1" t="s">
        <v>1212</v>
      </c>
      <c r="D1179" s="1" t="s">
        <v>572</v>
      </c>
      <c r="E1179" s="1" t="s">
        <v>1213</v>
      </c>
      <c r="F1179" s="1" t="s">
        <v>1214</v>
      </c>
      <c r="G1179" s="1">
        <v>57</v>
      </c>
      <c r="H1179" s="1">
        <v>0</v>
      </c>
      <c r="I1179" s="1">
        <v>2023</v>
      </c>
      <c r="J1179" s="1">
        <v>50</v>
      </c>
      <c r="K1179" s="1">
        <v>95</v>
      </c>
      <c r="L1179" s="1">
        <v>37</v>
      </c>
      <c r="M1179" s="1">
        <v>73</v>
      </c>
      <c r="N1179" s="1" t="s">
        <v>6</v>
      </c>
      <c r="O1179" s="1" t="s">
        <v>1215</v>
      </c>
      <c r="P1179" s="3" t="str">
        <f>HYPERLINK("http://dx.doi.org/10.21678/apuntes.95.1832","http://dx.doi.org/10.21678/apuntes.95.1832")</f>
        <v>http://dx.doi.org/10.21678/apuntes.95.1832</v>
      </c>
    </row>
    <row r="1180" spans="1:16" ht="15.75" customHeight="1">
      <c r="A1180" s="1" t="s">
        <v>10</v>
      </c>
      <c r="B1180" s="1" t="s">
        <v>688</v>
      </c>
      <c r="C1180" s="1" t="s">
        <v>689</v>
      </c>
      <c r="D1180" s="1" t="s">
        <v>690</v>
      </c>
      <c r="E1180" s="1" t="s">
        <v>691</v>
      </c>
      <c r="F1180" s="1" t="s">
        <v>692</v>
      </c>
      <c r="H1180" s="1">
        <v>0</v>
      </c>
      <c r="I1180" s="1">
        <v>2023</v>
      </c>
      <c r="J1180" s="1">
        <v>15</v>
      </c>
      <c r="K1180" s="1">
        <v>2</v>
      </c>
      <c r="O1180" s="1" t="s">
        <v>693</v>
      </c>
    </row>
    <row r="1181" spans="1:16" ht="15.75" customHeight="1">
      <c r="A1181" s="1" t="s">
        <v>0</v>
      </c>
      <c r="B1181" s="1" t="s">
        <v>4490</v>
      </c>
      <c r="C1181" s="1" t="s">
        <v>4491</v>
      </c>
      <c r="D1181" s="1" t="s">
        <v>1364</v>
      </c>
      <c r="E1181" s="1" t="s">
        <v>4492</v>
      </c>
      <c r="F1181" s="1" t="s">
        <v>4493</v>
      </c>
      <c r="G1181" s="1">
        <v>56</v>
      </c>
      <c r="H1181" s="1">
        <v>0</v>
      </c>
      <c r="I1181" s="1">
        <v>2023</v>
      </c>
      <c r="J1181" s="1">
        <v>17</v>
      </c>
      <c r="K1181" s="1" t="s">
        <v>6</v>
      </c>
      <c r="L1181" s="1" t="s">
        <v>6</v>
      </c>
      <c r="M1181" s="1" t="s">
        <v>6</v>
      </c>
      <c r="N1181" s="1" t="s">
        <v>4494</v>
      </c>
      <c r="O1181" s="1" t="s">
        <v>4495</v>
      </c>
      <c r="P1181" s="3" t="str">
        <f>HYPERLINK("http://dx.doi.org/10.31406/relap2023.v17.e202222","http://dx.doi.org/10.31406/relap2023.v17.e202222")</f>
        <v>http://dx.doi.org/10.31406/relap2023.v17.e202222</v>
      </c>
    </row>
    <row r="1182" spans="1:16" ht="15.75" customHeight="1">
      <c r="A1182" s="1" t="s">
        <v>0</v>
      </c>
      <c r="B1182" s="1" t="s">
        <v>3053</v>
      </c>
      <c r="C1182" s="1" t="s">
        <v>3054</v>
      </c>
      <c r="D1182" s="1" t="s">
        <v>996</v>
      </c>
      <c r="E1182" s="1" t="s">
        <v>3055</v>
      </c>
      <c r="F1182" s="1" t="s">
        <v>3056</v>
      </c>
      <c r="G1182" s="1">
        <v>34</v>
      </c>
      <c r="H1182" s="1">
        <v>0</v>
      </c>
      <c r="I1182" s="1">
        <v>2023</v>
      </c>
      <c r="J1182" s="1">
        <v>33</v>
      </c>
      <c r="K1182" s="1">
        <v>1</v>
      </c>
      <c r="L1182" s="1">
        <v>300</v>
      </c>
      <c r="M1182" s="1">
        <v>327</v>
      </c>
      <c r="N1182" s="1" t="s">
        <v>6</v>
      </c>
      <c r="O1182" s="1" t="s">
        <v>3057</v>
      </c>
      <c r="P1182" s="3" t="str">
        <f>HYPERLINK("http://dx.doi.org/10.7770/CUHSD-V33N1-ART629","http://dx.doi.org/10.7770/CUHSD-V33N1-ART629")</f>
        <v>http://dx.doi.org/10.7770/CUHSD-V33N1-ART629</v>
      </c>
    </row>
    <row r="1183" spans="1:16" ht="15.75" customHeight="1">
      <c r="A1183" s="1" t="s">
        <v>10</v>
      </c>
      <c r="B1183" s="1" t="s">
        <v>251</v>
      </c>
      <c r="C1183" s="1" t="s">
        <v>252</v>
      </c>
      <c r="D1183" s="1" t="s">
        <v>27</v>
      </c>
      <c r="E1183" s="1" t="s">
        <v>253</v>
      </c>
      <c r="F1183" s="1" t="s">
        <v>254</v>
      </c>
      <c r="H1183" s="1">
        <v>0</v>
      </c>
      <c r="I1183" s="1">
        <v>2023</v>
      </c>
      <c r="J1183" s="1">
        <v>15</v>
      </c>
      <c r="K1183" s="1">
        <v>5</v>
      </c>
      <c r="O1183" s="1" t="s">
        <v>255</v>
      </c>
    </row>
    <row r="1184" spans="1:16" ht="15.75" customHeight="1">
      <c r="A1184" s="1" t="s">
        <v>0</v>
      </c>
      <c r="B1184" s="1" t="s">
        <v>5652</v>
      </c>
      <c r="C1184" s="1" t="s">
        <v>5653</v>
      </c>
      <c r="D1184" s="1" t="s">
        <v>732</v>
      </c>
      <c r="E1184" s="1" t="s">
        <v>5654</v>
      </c>
      <c r="F1184" s="1" t="s">
        <v>5655</v>
      </c>
      <c r="G1184" s="1">
        <v>44</v>
      </c>
      <c r="H1184" s="1">
        <v>0</v>
      </c>
      <c r="I1184" s="1">
        <v>2023</v>
      </c>
      <c r="J1184" s="1">
        <v>31</v>
      </c>
      <c r="K1184" s="1" t="s">
        <v>942</v>
      </c>
      <c r="O1184" s="1" t="s">
        <v>5656</v>
      </c>
    </row>
    <row r="1185" spans="1:16" ht="15.75" customHeight="1">
      <c r="A1185" s="1" t="s">
        <v>0</v>
      </c>
      <c r="B1185" s="1" t="s">
        <v>3668</v>
      </c>
      <c r="C1185" s="1" t="s">
        <v>3669</v>
      </c>
      <c r="D1185" s="1" t="s">
        <v>3670</v>
      </c>
      <c r="E1185" s="1" t="s">
        <v>3671</v>
      </c>
      <c r="F1185" s="1" t="s">
        <v>3672</v>
      </c>
      <c r="G1185" s="1">
        <v>69</v>
      </c>
      <c r="H1185" s="1">
        <v>0</v>
      </c>
      <c r="I1185" s="1">
        <v>2023</v>
      </c>
      <c r="J1185" s="1">
        <v>21</v>
      </c>
      <c r="K1185" s="1">
        <v>1</v>
      </c>
      <c r="L1185" s="1" t="s">
        <v>6</v>
      </c>
      <c r="M1185" s="1" t="s">
        <v>6</v>
      </c>
      <c r="N1185" s="1">
        <v>52797</v>
      </c>
      <c r="O1185" s="1" t="s">
        <v>3673</v>
      </c>
      <c r="P1185" s="3" t="str">
        <f>HYPERLINK("http://dx.doi.org/10.15517/psm.v21i1.52797","http://dx.doi.org/10.15517/psm.v21i1.52797")</f>
        <v>http://dx.doi.org/10.15517/psm.v21i1.52797</v>
      </c>
    </row>
    <row r="1186" spans="1:16" ht="15.75" customHeight="1">
      <c r="A1186" s="1" t="s">
        <v>0</v>
      </c>
      <c r="B1186" s="1" t="s">
        <v>3609</v>
      </c>
      <c r="C1186" s="1" t="s">
        <v>3610</v>
      </c>
      <c r="D1186" s="1" t="s">
        <v>195</v>
      </c>
      <c r="E1186" s="1" t="s">
        <v>3611</v>
      </c>
      <c r="F1186" s="1" t="s">
        <v>3612</v>
      </c>
      <c r="G1186" s="1">
        <v>57</v>
      </c>
      <c r="H1186" s="1">
        <v>0</v>
      </c>
      <c r="I1186" s="1">
        <v>2023</v>
      </c>
      <c r="J1186" s="1">
        <v>55</v>
      </c>
      <c r="K1186" s="1">
        <v>2</v>
      </c>
      <c r="L1186" s="1">
        <v>321</v>
      </c>
      <c r="M1186" s="1">
        <v>334</v>
      </c>
      <c r="N1186" s="1" t="s">
        <v>6</v>
      </c>
      <c r="O1186" s="1" t="s">
        <v>3613</v>
      </c>
      <c r="P1186" s="3" t="str">
        <f>HYPERLINK("http://dx.doi.org/10.4067/S0717-73562023005000502","http://dx.doi.org/10.4067/S0717-73562023005000502")</f>
        <v>http://dx.doi.org/10.4067/S0717-73562023005000502</v>
      </c>
    </row>
    <row r="1187" spans="1:16" ht="15.75" customHeight="1">
      <c r="A1187" s="1" t="s">
        <v>0</v>
      </c>
      <c r="B1187" s="1" t="s">
        <v>2518</v>
      </c>
      <c r="C1187" s="1" t="s">
        <v>2519</v>
      </c>
      <c r="D1187" s="1" t="s">
        <v>668</v>
      </c>
      <c r="E1187" s="1" t="s">
        <v>2520</v>
      </c>
      <c r="F1187" s="1" t="s">
        <v>2521</v>
      </c>
      <c r="G1187" s="1">
        <v>60</v>
      </c>
      <c r="H1187" s="1">
        <v>0</v>
      </c>
      <c r="I1187" s="1">
        <v>2023</v>
      </c>
      <c r="J1187" s="1">
        <v>18</v>
      </c>
      <c r="O1187" s="1" t="s">
        <v>2522</v>
      </c>
    </row>
    <row r="1188" spans="1:16" ht="15.75" customHeight="1">
      <c r="A1188" s="1" t="s">
        <v>0</v>
      </c>
      <c r="B1188" s="1" t="s">
        <v>6178</v>
      </c>
      <c r="C1188" s="1" t="s">
        <v>6179</v>
      </c>
      <c r="D1188" s="1" t="s">
        <v>2910</v>
      </c>
      <c r="E1188" s="1" t="s">
        <v>6180</v>
      </c>
      <c r="F1188" s="1" t="s">
        <v>6181</v>
      </c>
      <c r="G1188" s="1">
        <v>54</v>
      </c>
      <c r="H1188" s="1">
        <v>0</v>
      </c>
      <c r="I1188" s="1">
        <v>2023</v>
      </c>
      <c r="J1188" s="1">
        <v>24</v>
      </c>
      <c r="K1188" s="1" t="s">
        <v>6</v>
      </c>
      <c r="L1188" s="1" t="s">
        <v>6</v>
      </c>
      <c r="M1188" s="1" t="s">
        <v>6</v>
      </c>
      <c r="N1188" s="1" t="s">
        <v>6182</v>
      </c>
      <c r="O1188" s="1" t="s">
        <v>6183</v>
      </c>
      <c r="P1188" s="3" t="str">
        <f>HYPERLINK("http://dx.doi.org/10.21670/ref.2303114","http://dx.doi.org/10.21670/ref.2303114")</f>
        <v>http://dx.doi.org/10.21670/ref.2303114</v>
      </c>
    </row>
    <row r="1189" spans="1:16" ht="15.75" customHeight="1">
      <c r="A1189" s="1" t="s">
        <v>0</v>
      </c>
      <c r="B1189" s="1" t="s">
        <v>737</v>
      </c>
      <c r="C1189" s="1" t="s">
        <v>738</v>
      </c>
      <c r="D1189" s="1" t="s">
        <v>58</v>
      </c>
      <c r="E1189" s="1" t="s">
        <v>739</v>
      </c>
      <c r="F1189" s="1" t="s">
        <v>740</v>
      </c>
      <c r="G1189" s="1">
        <v>51</v>
      </c>
      <c r="H1189" s="1">
        <v>0</v>
      </c>
      <c r="I1189" s="1">
        <v>2023</v>
      </c>
      <c r="J1189" s="1">
        <v>23</v>
      </c>
      <c r="K1189" s="1" t="s">
        <v>6</v>
      </c>
      <c r="L1189" s="1" t="s">
        <v>6</v>
      </c>
      <c r="M1189" s="1" t="s">
        <v>6</v>
      </c>
      <c r="N1189" s="1" t="s">
        <v>6</v>
      </c>
      <c r="O1189" s="1" t="s">
        <v>6</v>
      </c>
      <c r="P1189" s="1" t="s">
        <v>6</v>
      </c>
    </row>
    <row r="1190" spans="1:16" ht="15.75" customHeight="1">
      <c r="A1190" s="1" t="s">
        <v>0</v>
      </c>
      <c r="B1190" s="1" t="s">
        <v>2743</v>
      </c>
      <c r="C1190" s="1" t="s">
        <v>2744</v>
      </c>
      <c r="D1190" s="1" t="s">
        <v>836</v>
      </c>
      <c r="E1190" s="1" t="s">
        <v>2745</v>
      </c>
      <c r="F1190" s="1" t="s">
        <v>2746</v>
      </c>
      <c r="G1190" s="1">
        <v>49</v>
      </c>
      <c r="H1190" s="1">
        <v>0</v>
      </c>
      <c r="I1190" s="1">
        <v>2023</v>
      </c>
      <c r="J1190" s="1">
        <v>15</v>
      </c>
      <c r="K1190" s="1">
        <v>1</v>
      </c>
      <c r="L1190" s="1">
        <v>231</v>
      </c>
      <c r="M1190" s="1">
        <v>263</v>
      </c>
      <c r="N1190" s="1" t="s">
        <v>6</v>
      </c>
      <c r="O1190" s="1" t="s">
        <v>2747</v>
      </c>
      <c r="P1190" s="3" t="str">
        <f>HYPERLINK("http://dx.doi.org/10.6092/issn.2036-0967/14516","http://dx.doi.org/10.6092/issn.2036-0967/14516")</f>
        <v>http://dx.doi.org/10.6092/issn.2036-0967/14516</v>
      </c>
    </row>
    <row r="1191" spans="1:16" ht="15.75" customHeight="1">
      <c r="A1191" s="1" t="s">
        <v>0</v>
      </c>
      <c r="B1191" s="1" t="s">
        <v>4134</v>
      </c>
      <c r="C1191" s="1" t="s">
        <v>4135</v>
      </c>
      <c r="D1191" s="1" t="s">
        <v>4136</v>
      </c>
      <c r="E1191" s="1" t="s">
        <v>4137</v>
      </c>
      <c r="F1191" s="1" t="s">
        <v>4138</v>
      </c>
      <c r="G1191" s="1">
        <v>52</v>
      </c>
      <c r="H1191" s="1">
        <v>0</v>
      </c>
      <c r="I1191" s="1">
        <v>2023</v>
      </c>
      <c r="J1191" s="1">
        <v>84</v>
      </c>
      <c r="K1191" s="1">
        <v>294</v>
      </c>
      <c r="L1191" s="1" t="s">
        <v>6</v>
      </c>
      <c r="M1191" s="1" t="s">
        <v>6</v>
      </c>
      <c r="N1191" s="1" t="s">
        <v>6</v>
      </c>
      <c r="O1191" s="1" t="s">
        <v>4139</v>
      </c>
      <c r="P1191" s="3" t="str">
        <f>HYPERLINK("http://dx.doi.org/10.3989/estgeogr.2023132.132","http://dx.doi.org/10.3989/estgeogr.2023132.132")</f>
        <v>http://dx.doi.org/10.3989/estgeogr.2023132.132</v>
      </c>
    </row>
    <row r="1192" spans="1:16" ht="15.75" customHeight="1">
      <c r="A1192" s="1" t="s">
        <v>0</v>
      </c>
      <c r="B1192" s="1" t="s">
        <v>4831</v>
      </c>
      <c r="C1192" s="1" t="s">
        <v>4832</v>
      </c>
      <c r="D1192" s="1" t="s">
        <v>4833</v>
      </c>
      <c r="E1192" s="1" t="s">
        <v>4834</v>
      </c>
      <c r="F1192" s="1" t="s">
        <v>4835</v>
      </c>
      <c r="G1192" s="1">
        <v>18</v>
      </c>
      <c r="H1192" s="1">
        <v>0</v>
      </c>
      <c r="I1192" s="1">
        <v>2023</v>
      </c>
      <c r="J1192" s="1" t="s">
        <v>6</v>
      </c>
      <c r="K1192" s="1">
        <v>27</v>
      </c>
      <c r="L1192" s="1" t="s">
        <v>6</v>
      </c>
      <c r="M1192" s="1" t="s">
        <v>6</v>
      </c>
      <c r="N1192" s="1" t="s">
        <v>6</v>
      </c>
      <c r="O1192" s="1" t="s">
        <v>6</v>
      </c>
      <c r="P1192" s="1" t="s">
        <v>6</v>
      </c>
    </row>
    <row r="1193" spans="1:16" ht="15.75" customHeight="1">
      <c r="A1193" s="1" t="s">
        <v>0</v>
      </c>
      <c r="B1193" s="1" t="s">
        <v>104</v>
      </c>
      <c r="C1193" s="1" t="s">
        <v>105</v>
      </c>
      <c r="D1193" s="1" t="s">
        <v>106</v>
      </c>
      <c r="E1193" s="1" t="s">
        <v>107</v>
      </c>
      <c r="F1193" s="1" t="s">
        <v>108</v>
      </c>
      <c r="G1193" s="1">
        <v>39</v>
      </c>
      <c r="H1193" s="1">
        <v>0</v>
      </c>
      <c r="I1193" s="1">
        <v>2023</v>
      </c>
      <c r="J1193" s="1">
        <v>23</v>
      </c>
      <c r="K1193" s="1" t="s">
        <v>61</v>
      </c>
      <c r="O1193" s="1" t="s">
        <v>109</v>
      </c>
    </row>
    <row r="1194" spans="1:16" ht="15.75" customHeight="1">
      <c r="A1194" s="1" t="s">
        <v>0</v>
      </c>
      <c r="B1194" s="1" t="s">
        <v>600</v>
      </c>
      <c r="C1194" s="2" t="s">
        <v>601</v>
      </c>
      <c r="D1194" s="2" t="s">
        <v>602</v>
      </c>
      <c r="E1194" s="1" t="s">
        <v>603</v>
      </c>
      <c r="F1194" s="1" t="s">
        <v>604</v>
      </c>
      <c r="G1194" s="1">
        <v>64</v>
      </c>
      <c r="H1194" s="1">
        <v>0</v>
      </c>
      <c r="I1194" s="1">
        <v>2023</v>
      </c>
      <c r="J1194" s="1">
        <v>38</v>
      </c>
      <c r="K1194" s="1" t="s">
        <v>605</v>
      </c>
      <c r="O1194" s="1" t="s">
        <v>606</v>
      </c>
    </row>
    <row r="1195" spans="1:16" ht="15.75" customHeight="1">
      <c r="A1195" s="1" t="s">
        <v>0</v>
      </c>
      <c r="B1195" s="1" t="s">
        <v>5200</v>
      </c>
      <c r="C1195" s="1" t="s">
        <v>5201</v>
      </c>
      <c r="D1195" s="1" t="s">
        <v>5202</v>
      </c>
      <c r="E1195" s="1" t="s">
        <v>5203</v>
      </c>
      <c r="F1195" s="1" t="s">
        <v>5204</v>
      </c>
      <c r="G1195" s="1">
        <v>27</v>
      </c>
      <c r="H1195" s="1">
        <v>0</v>
      </c>
      <c r="I1195" s="1">
        <v>2023</v>
      </c>
      <c r="J1195" s="1">
        <v>21</v>
      </c>
      <c r="K1195" s="1">
        <v>83</v>
      </c>
      <c r="L1195" s="1">
        <v>1</v>
      </c>
      <c r="M1195" s="1">
        <v>18</v>
      </c>
      <c r="N1195" s="1" t="s">
        <v>6</v>
      </c>
      <c r="O1195" s="1" t="s">
        <v>6</v>
      </c>
      <c r="P1195" s="1" t="s">
        <v>6</v>
      </c>
    </row>
    <row r="1196" spans="1:16" ht="15.75" customHeight="1">
      <c r="A1196" s="1" t="s">
        <v>0</v>
      </c>
      <c r="B1196" s="1" t="s">
        <v>1549</v>
      </c>
      <c r="C1196" s="1" t="s">
        <v>1550</v>
      </c>
      <c r="D1196" s="1" t="s">
        <v>732</v>
      </c>
      <c r="E1196" s="1" t="s">
        <v>1551</v>
      </c>
      <c r="F1196" s="1" t="s">
        <v>1552</v>
      </c>
      <c r="G1196" s="1">
        <v>66</v>
      </c>
      <c r="H1196" s="1">
        <v>0</v>
      </c>
      <c r="I1196" s="1">
        <v>2023</v>
      </c>
      <c r="J1196" s="1">
        <v>31</v>
      </c>
      <c r="K1196" s="1" t="s">
        <v>1553</v>
      </c>
      <c r="O1196" s="1" t="s">
        <v>1542</v>
      </c>
    </row>
    <row r="1197" spans="1:16" ht="15.75" customHeight="1">
      <c r="A1197" s="1" t="s">
        <v>10</v>
      </c>
      <c r="B1197" s="1" t="s">
        <v>1926</v>
      </c>
      <c r="C1197" s="1" t="s">
        <v>1927</v>
      </c>
      <c r="D1197" s="1" t="s">
        <v>473</v>
      </c>
      <c r="E1197" s="1" t="s">
        <v>1928</v>
      </c>
      <c r="F1197" s="1" t="s">
        <v>1929</v>
      </c>
      <c r="H1197" s="1">
        <v>0</v>
      </c>
      <c r="I1197" s="1">
        <v>2023</v>
      </c>
      <c r="J1197" s="1">
        <v>49</v>
      </c>
      <c r="K1197" s="1">
        <v>146</v>
      </c>
      <c r="O1197" s="1" t="s">
        <v>1930</v>
      </c>
    </row>
    <row r="1198" spans="1:16" ht="15.75" customHeight="1">
      <c r="A1198" s="1" t="s">
        <v>10</v>
      </c>
      <c r="B1198" s="1" t="s">
        <v>4621</v>
      </c>
      <c r="C1198" s="1" t="s">
        <v>4622</v>
      </c>
      <c r="D1198" s="1" t="s">
        <v>2987</v>
      </c>
      <c r="E1198" s="1" t="s">
        <v>4623</v>
      </c>
      <c r="F1198" s="1" t="s">
        <v>4624</v>
      </c>
      <c r="H1198" s="1">
        <v>0</v>
      </c>
      <c r="I1198" s="1">
        <v>2023</v>
      </c>
      <c r="J1198" s="1">
        <v>38</v>
      </c>
      <c r="K1198" s="1">
        <v>108</v>
      </c>
      <c r="O1198" s="1" t="s">
        <v>4625</v>
      </c>
    </row>
    <row r="1199" spans="1:16" ht="15.75" customHeight="1">
      <c r="A1199" s="1" t="s">
        <v>0</v>
      </c>
      <c r="B1199" s="1" t="s">
        <v>5606</v>
      </c>
      <c r="C1199" s="1" t="s">
        <v>5607</v>
      </c>
      <c r="D1199" s="1" t="s">
        <v>5608</v>
      </c>
      <c r="E1199" s="1" t="s">
        <v>5609</v>
      </c>
      <c r="F1199" s="1" t="s">
        <v>5610</v>
      </c>
      <c r="G1199" s="1">
        <v>55</v>
      </c>
      <c r="H1199" s="1">
        <v>0</v>
      </c>
      <c r="I1199" s="1">
        <v>2023</v>
      </c>
      <c r="J1199" s="1">
        <v>10</v>
      </c>
      <c r="K1199" s="1">
        <v>2</v>
      </c>
      <c r="L1199" s="1" t="s">
        <v>6</v>
      </c>
      <c r="M1199" s="1" t="s">
        <v>6</v>
      </c>
      <c r="N1199" s="1" t="s">
        <v>6</v>
      </c>
      <c r="O1199" s="1" t="s">
        <v>5611</v>
      </c>
      <c r="P1199" s="3" t="str">
        <f>HYPERLINK("http://dx.doi.org/10.15648/Collectivus.vol10num2.2023.3801","http://dx.doi.org/10.15648/Collectivus.vol10num2.2023.3801")</f>
        <v>http://dx.doi.org/10.15648/Collectivus.vol10num2.2023.3801</v>
      </c>
    </row>
    <row r="1200" spans="1:16" ht="15.75" customHeight="1">
      <c r="A1200" s="1" t="s">
        <v>0</v>
      </c>
      <c r="B1200" s="1" t="s">
        <v>666</v>
      </c>
      <c r="C1200" s="1" t="s">
        <v>667</v>
      </c>
      <c r="D1200" s="1" t="s">
        <v>668</v>
      </c>
      <c r="E1200" s="1" t="s">
        <v>669</v>
      </c>
      <c r="F1200" s="1" t="s">
        <v>670</v>
      </c>
      <c r="G1200" s="1">
        <v>74</v>
      </c>
      <c r="H1200" s="1">
        <v>0</v>
      </c>
      <c r="I1200" s="1">
        <v>2023</v>
      </c>
      <c r="J1200" s="1">
        <v>18</v>
      </c>
      <c r="O1200" s="1" t="s">
        <v>671</v>
      </c>
    </row>
    <row r="1201" spans="1:16" ht="15.75" customHeight="1">
      <c r="A1201" s="1" t="s">
        <v>10</v>
      </c>
      <c r="B1201" s="1" t="s">
        <v>3186</v>
      </c>
      <c r="C1201" s="1" t="s">
        <v>3187</v>
      </c>
      <c r="D1201" s="1" t="s">
        <v>968</v>
      </c>
      <c r="E1201" s="1" t="s">
        <v>3188</v>
      </c>
      <c r="F1201" s="1" t="s">
        <v>3189</v>
      </c>
      <c r="H1201" s="1">
        <v>0</v>
      </c>
      <c r="I1201" s="1">
        <v>2023</v>
      </c>
      <c r="J1201" s="1">
        <v>33</v>
      </c>
      <c r="K1201" s="1">
        <v>2</v>
      </c>
      <c r="O1201" s="1" t="s">
        <v>3190</v>
      </c>
    </row>
    <row r="1202" spans="1:16" ht="15.75" customHeight="1">
      <c r="A1202" s="1" t="s">
        <v>0</v>
      </c>
      <c r="B1202" s="1" t="s">
        <v>613</v>
      </c>
      <c r="C1202" s="1" t="s">
        <v>614</v>
      </c>
      <c r="D1202" s="1" t="s">
        <v>615</v>
      </c>
      <c r="E1202" s="1" t="s">
        <v>616</v>
      </c>
      <c r="F1202" s="1" t="s">
        <v>617</v>
      </c>
      <c r="G1202" s="1">
        <v>13</v>
      </c>
      <c r="H1202" s="1">
        <v>0</v>
      </c>
      <c r="I1202" s="1">
        <v>2023</v>
      </c>
      <c r="J1202" s="1">
        <v>27</v>
      </c>
      <c r="K1202" s="1" t="s">
        <v>6</v>
      </c>
      <c r="L1202" s="1" t="s">
        <v>6</v>
      </c>
      <c r="M1202" s="1" t="s">
        <v>6</v>
      </c>
      <c r="N1202" s="1" t="s">
        <v>618</v>
      </c>
      <c r="O1202" s="1" t="s">
        <v>619</v>
      </c>
      <c r="P1202" s="3" t="str">
        <f>HYPERLINK("http://dx.doi.org/10.22633/rpge.v27i00.18667","http://dx.doi.org/10.22633/rpge.v27i00.18667")</f>
        <v>http://dx.doi.org/10.22633/rpge.v27i00.18667</v>
      </c>
    </row>
    <row r="1203" spans="1:16" ht="15.75" customHeight="1">
      <c r="A1203" s="1" t="s">
        <v>0</v>
      </c>
      <c r="B1203" s="1" t="s">
        <v>2662</v>
      </c>
      <c r="C1203" s="1" t="s">
        <v>2663</v>
      </c>
      <c r="D1203" s="1" t="s">
        <v>2664</v>
      </c>
      <c r="E1203" s="1" t="s">
        <v>2665</v>
      </c>
      <c r="F1203" s="1" t="s">
        <v>2666</v>
      </c>
      <c r="G1203" s="1">
        <v>94</v>
      </c>
      <c r="H1203" s="1">
        <v>0</v>
      </c>
      <c r="I1203" s="1">
        <v>2023</v>
      </c>
      <c r="J1203" s="1">
        <v>10</v>
      </c>
      <c r="K1203" s="1">
        <v>1</v>
      </c>
      <c r="L1203" s="1">
        <v>37</v>
      </c>
      <c r="M1203" s="1">
        <v>66</v>
      </c>
      <c r="N1203" s="1">
        <v>40866</v>
      </c>
      <c r="O1203" s="1" t="s">
        <v>2667</v>
      </c>
      <c r="P1203" s="3" t="str">
        <f>HYPERLINK("http://dx.doi.org/10.47456/simbitica.v10i1.40866","http://dx.doi.org/10.47456/simbitica.v10i1.40866")</f>
        <v>http://dx.doi.org/10.47456/simbitica.v10i1.40866</v>
      </c>
    </row>
    <row r="1204" spans="1:16" ht="15.75" customHeight="1">
      <c r="A1204" s="1" t="s">
        <v>0</v>
      </c>
      <c r="B1204" s="1" t="s">
        <v>4286</v>
      </c>
      <c r="C1204" s="1" t="s">
        <v>4287</v>
      </c>
      <c r="D1204" s="1" t="s">
        <v>4288</v>
      </c>
      <c r="E1204" s="1" t="s">
        <v>4289</v>
      </c>
      <c r="F1204" s="1" t="s">
        <v>4290</v>
      </c>
      <c r="G1204" s="1">
        <v>46</v>
      </c>
      <c r="H1204" s="1">
        <v>0</v>
      </c>
      <c r="I1204" s="1">
        <v>2023</v>
      </c>
      <c r="J1204" s="1" t="s">
        <v>6</v>
      </c>
      <c r="K1204" s="1">
        <v>58</v>
      </c>
      <c r="L1204" s="1">
        <v>15</v>
      </c>
      <c r="M1204" s="1">
        <v>34</v>
      </c>
      <c r="N1204" s="1" t="s">
        <v>6</v>
      </c>
      <c r="O1204" s="1" t="s">
        <v>6</v>
      </c>
      <c r="P1204" s="1" t="s">
        <v>6</v>
      </c>
    </row>
    <row r="1205" spans="1:16" ht="15.75" customHeight="1">
      <c r="A1205" s="1" t="s">
        <v>0</v>
      </c>
      <c r="B1205" s="1" t="s">
        <v>4419</v>
      </c>
      <c r="C1205" s="1" t="s">
        <v>4420</v>
      </c>
      <c r="D1205" s="1" t="s">
        <v>4421</v>
      </c>
      <c r="E1205" s="1" t="s">
        <v>4422</v>
      </c>
      <c r="F1205" s="1" t="s">
        <v>4423</v>
      </c>
      <c r="G1205" s="1">
        <v>62</v>
      </c>
      <c r="H1205" s="1">
        <v>0</v>
      </c>
      <c r="I1205" s="1">
        <v>2023</v>
      </c>
      <c r="J1205" s="1" t="s">
        <v>6</v>
      </c>
      <c r="K1205" s="1">
        <v>134</v>
      </c>
      <c r="L1205" s="1">
        <v>57</v>
      </c>
      <c r="M1205" s="1">
        <v>66</v>
      </c>
      <c r="N1205" s="1" t="s">
        <v>6</v>
      </c>
      <c r="O1205" s="1" t="s">
        <v>6</v>
      </c>
      <c r="P1205" s="1" t="s">
        <v>6</v>
      </c>
    </row>
    <row r="1206" spans="1:16" ht="15.75" customHeight="1">
      <c r="A1206" s="1" t="s">
        <v>0</v>
      </c>
      <c r="B1206" s="1" t="s">
        <v>5431</v>
      </c>
      <c r="C1206" s="1" t="s">
        <v>5432</v>
      </c>
      <c r="D1206" s="1" t="s">
        <v>572</v>
      </c>
      <c r="E1206" s="1" t="s">
        <v>5433</v>
      </c>
      <c r="F1206" s="1" t="s">
        <v>5434</v>
      </c>
      <c r="G1206" s="1">
        <v>51</v>
      </c>
      <c r="H1206" s="1">
        <v>0</v>
      </c>
      <c r="I1206" s="1">
        <v>2023</v>
      </c>
      <c r="J1206" s="1">
        <v>50</v>
      </c>
      <c r="K1206" s="1">
        <v>93</v>
      </c>
      <c r="L1206" s="1">
        <v>5</v>
      </c>
      <c r="M1206" s="1">
        <v>33</v>
      </c>
      <c r="N1206" s="1" t="s">
        <v>6</v>
      </c>
      <c r="O1206" s="1" t="s">
        <v>5435</v>
      </c>
      <c r="P1206" s="3" t="str">
        <f>HYPERLINK("http://dx.doi.org/10.21678/apuntes.93.1498","http://dx.doi.org/10.21678/apuntes.93.1498")</f>
        <v>http://dx.doi.org/10.21678/apuntes.93.1498</v>
      </c>
    </row>
    <row r="1207" spans="1:16" ht="15.75" customHeight="1">
      <c r="A1207" s="1" t="s">
        <v>0</v>
      </c>
      <c r="B1207" s="1" t="s">
        <v>4893</v>
      </c>
      <c r="C1207" s="1" t="s">
        <v>4894</v>
      </c>
      <c r="D1207" s="1" t="s">
        <v>52</v>
      </c>
      <c r="E1207" s="1" t="s">
        <v>4895</v>
      </c>
      <c r="F1207" s="1" t="s">
        <v>4896</v>
      </c>
      <c r="G1207" s="1">
        <v>88</v>
      </c>
      <c r="H1207" s="1">
        <v>0</v>
      </c>
      <c r="I1207" s="1">
        <v>2023</v>
      </c>
      <c r="J1207" s="1">
        <v>22</v>
      </c>
      <c r="K1207" s="1" t="s">
        <v>191</v>
      </c>
      <c r="O1207" s="1" t="s">
        <v>4897</v>
      </c>
    </row>
    <row r="1208" spans="1:16" ht="15.75" customHeight="1">
      <c r="A1208" s="1" t="s">
        <v>0</v>
      </c>
      <c r="B1208" s="1" t="s">
        <v>6441</v>
      </c>
      <c r="C1208" s="1" t="s">
        <v>6442</v>
      </c>
      <c r="D1208" s="1" t="s">
        <v>6443</v>
      </c>
      <c r="E1208" s="1" t="s">
        <v>6444</v>
      </c>
      <c r="F1208" s="1" t="s">
        <v>6445</v>
      </c>
      <c r="G1208" s="1">
        <v>47</v>
      </c>
      <c r="H1208" s="1">
        <v>0</v>
      </c>
      <c r="I1208" s="1">
        <v>2023</v>
      </c>
      <c r="J1208" s="1">
        <v>40</v>
      </c>
      <c r="K1208" s="1">
        <v>1</v>
      </c>
      <c r="L1208" s="1">
        <v>363</v>
      </c>
      <c r="M1208" s="1">
        <v>377</v>
      </c>
      <c r="N1208" s="1" t="s">
        <v>6</v>
      </c>
      <c r="O1208" s="1" t="s">
        <v>6446</v>
      </c>
      <c r="P1208" s="3" t="str">
        <f>HYPERLINK("http://dx.doi.org/10.16888/interd.2023.40.1.22","http://dx.doi.org/10.16888/interd.2023.40.1.22")</f>
        <v>http://dx.doi.org/10.16888/interd.2023.40.1.22</v>
      </c>
    </row>
    <row r="1209" spans="1:16" ht="15.75" customHeight="1">
      <c r="A1209" s="1" t="s">
        <v>0</v>
      </c>
      <c r="B1209" s="1" t="s">
        <v>4507</v>
      </c>
      <c r="C1209" s="1" t="s">
        <v>4508</v>
      </c>
      <c r="D1209" s="1" t="s">
        <v>4509</v>
      </c>
      <c r="E1209" s="1" t="s">
        <v>4510</v>
      </c>
      <c r="F1209" s="1" t="s">
        <v>4511</v>
      </c>
      <c r="G1209" s="1">
        <v>50</v>
      </c>
      <c r="H1209" s="1">
        <v>0</v>
      </c>
      <c r="I1209" s="1">
        <v>2023</v>
      </c>
      <c r="J1209" s="1" t="s">
        <v>6</v>
      </c>
      <c r="K1209" s="1">
        <v>41</v>
      </c>
      <c r="L1209" s="1">
        <v>201</v>
      </c>
      <c r="M1209" s="1">
        <v>226</v>
      </c>
      <c r="N1209" s="1" t="s">
        <v>6</v>
      </c>
      <c r="O1209" s="1" t="s">
        <v>4512</v>
      </c>
      <c r="P1209" s="3" t="str">
        <f>HYPERLINK("http://dx.doi.org/10.29344/07180772.41.3528","http://dx.doi.org/10.29344/07180772.41.3528")</f>
        <v>http://dx.doi.org/10.29344/07180772.41.3528</v>
      </c>
    </row>
    <row r="1210" spans="1:16" ht="15.75" customHeight="1">
      <c r="A1210" s="1" t="s">
        <v>0</v>
      </c>
      <c r="B1210" s="1" t="s">
        <v>4200</v>
      </c>
      <c r="C1210" s="1" t="s">
        <v>4201</v>
      </c>
      <c r="D1210" s="1" t="s">
        <v>4202</v>
      </c>
      <c r="E1210" s="1" t="s">
        <v>4203</v>
      </c>
      <c r="F1210" s="1" t="s">
        <v>4204</v>
      </c>
      <c r="G1210" s="1">
        <v>33</v>
      </c>
      <c r="H1210" s="1">
        <v>0</v>
      </c>
      <c r="I1210" s="1">
        <v>2023</v>
      </c>
      <c r="J1210" s="1">
        <v>16</v>
      </c>
      <c r="K1210" s="1">
        <v>1</v>
      </c>
      <c r="L1210" s="1">
        <v>58</v>
      </c>
      <c r="M1210" s="1">
        <v>71</v>
      </c>
      <c r="N1210" s="1" t="s">
        <v>6</v>
      </c>
      <c r="O1210" s="1" t="s">
        <v>4205</v>
      </c>
      <c r="P1210" s="3" t="str">
        <f>HYPERLINK("http://dx.doi.org/10.14483/2422278X.19060","http://dx.doi.org/10.14483/2422278X.19060")</f>
        <v>http://dx.doi.org/10.14483/2422278X.19060</v>
      </c>
    </row>
    <row r="1211" spans="1:16" ht="15.75" customHeight="1">
      <c r="A1211" s="1" t="s">
        <v>0</v>
      </c>
      <c r="B1211" s="1" t="s">
        <v>7069</v>
      </c>
      <c r="C1211" s="1" t="s">
        <v>7070</v>
      </c>
      <c r="D1211" s="1" t="s">
        <v>7071</v>
      </c>
      <c r="E1211" s="1" t="s">
        <v>7072</v>
      </c>
      <c r="F1211" s="1" t="s">
        <v>7073</v>
      </c>
      <c r="G1211" s="1">
        <v>62</v>
      </c>
      <c r="H1211" s="1">
        <v>0</v>
      </c>
      <c r="I1211" s="1">
        <v>2023</v>
      </c>
      <c r="J1211" s="1">
        <v>23</v>
      </c>
      <c r="K1211" s="1">
        <v>1</v>
      </c>
      <c r="L1211" s="1" t="s">
        <v>6</v>
      </c>
      <c r="M1211" s="1" t="s">
        <v>6</v>
      </c>
      <c r="N1211" s="1" t="s">
        <v>7074</v>
      </c>
      <c r="O1211" s="1" t="s">
        <v>7075</v>
      </c>
      <c r="P1211" s="3" t="str">
        <f>HYPERLINK("http://dx.doi.org/10.11606/issn.2316-9044.rdisan.2023.201868","http://dx.doi.org/10.11606/issn.2316-9044.rdisan.2023.201868")</f>
        <v>http://dx.doi.org/10.11606/issn.2316-9044.rdisan.2023.201868</v>
      </c>
    </row>
    <row r="1212" spans="1:16" ht="15.75" customHeight="1">
      <c r="A1212" s="1" t="s">
        <v>0</v>
      </c>
      <c r="B1212" s="1" t="s">
        <v>3164</v>
      </c>
      <c r="C1212" s="1" t="s">
        <v>3165</v>
      </c>
      <c r="D1212" s="1" t="s">
        <v>387</v>
      </c>
      <c r="E1212" s="1" t="s">
        <v>3166</v>
      </c>
      <c r="F1212" s="1" t="s">
        <v>3167</v>
      </c>
      <c r="G1212" s="1">
        <v>61</v>
      </c>
      <c r="H1212" s="1">
        <v>0</v>
      </c>
      <c r="I1212" s="1">
        <v>2023</v>
      </c>
      <c r="J1212" s="1">
        <v>31</v>
      </c>
      <c r="K1212" s="1" t="s">
        <v>3168</v>
      </c>
      <c r="O1212" s="1" t="s">
        <v>3169</v>
      </c>
    </row>
    <row r="1213" spans="1:16" ht="15.75" customHeight="1">
      <c r="A1213" s="1" t="s">
        <v>0</v>
      </c>
      <c r="B1213" s="1" t="s">
        <v>3653</v>
      </c>
      <c r="C1213" s="1" t="s">
        <v>3654</v>
      </c>
      <c r="D1213" s="1" t="s">
        <v>58</v>
      </c>
      <c r="E1213" s="1" t="s">
        <v>3655</v>
      </c>
      <c r="F1213" s="1" t="s">
        <v>3656</v>
      </c>
      <c r="G1213" s="1">
        <v>58</v>
      </c>
      <c r="H1213" s="1">
        <v>0</v>
      </c>
      <c r="I1213" s="1">
        <v>2023</v>
      </c>
      <c r="J1213" s="1">
        <v>23</v>
      </c>
      <c r="K1213" s="1" t="s">
        <v>6</v>
      </c>
      <c r="L1213" s="1" t="s">
        <v>6</v>
      </c>
      <c r="M1213" s="1" t="s">
        <v>6</v>
      </c>
      <c r="N1213" s="1" t="s">
        <v>6</v>
      </c>
      <c r="O1213" s="1" t="s">
        <v>3657</v>
      </c>
      <c r="P1213" s="3" t="str">
        <f>HYPERLINK("http://dx.doi.org/10.4067/s0719-09482023000100204","http://dx.doi.org/10.4067/s0719-09482023000100204")</f>
        <v>http://dx.doi.org/10.4067/s0719-09482023000100204</v>
      </c>
    </row>
    <row r="1214" spans="1:16" ht="15.75" customHeight="1">
      <c r="A1214" s="1" t="s">
        <v>0</v>
      </c>
      <c r="B1214" s="1" t="s">
        <v>6790</v>
      </c>
      <c r="C1214" s="1" t="s">
        <v>6791</v>
      </c>
      <c r="D1214" s="1" t="s">
        <v>2664</v>
      </c>
      <c r="E1214" s="1" t="s">
        <v>6792</v>
      </c>
      <c r="F1214" s="1" t="s">
        <v>6793</v>
      </c>
      <c r="G1214" s="1">
        <v>64</v>
      </c>
      <c r="H1214" s="1">
        <v>0</v>
      </c>
      <c r="I1214" s="1">
        <v>2023</v>
      </c>
      <c r="J1214" s="1">
        <v>10</v>
      </c>
      <c r="K1214" s="1">
        <v>2</v>
      </c>
      <c r="L1214" s="1">
        <v>96</v>
      </c>
      <c r="M1214" s="1">
        <v>119</v>
      </c>
      <c r="N1214" s="1" t="s">
        <v>6</v>
      </c>
      <c r="O1214" s="1" t="s">
        <v>6794</v>
      </c>
      <c r="P1214" s="3" t="str">
        <f>HYPERLINK("http://dx.doi.org/10.47456/simbitica.v10i2.40035","http://dx.doi.org/10.47456/simbitica.v10i2.40035")</f>
        <v>http://dx.doi.org/10.47456/simbitica.v10i2.40035</v>
      </c>
    </row>
    <row r="1215" spans="1:16" ht="15.75" customHeight="1">
      <c r="A1215" s="1" t="s">
        <v>0</v>
      </c>
      <c r="B1215" s="1" t="s">
        <v>4233</v>
      </c>
      <c r="C1215" s="1" t="s">
        <v>4234</v>
      </c>
      <c r="D1215" s="1" t="s">
        <v>732</v>
      </c>
      <c r="E1215" s="1" t="s">
        <v>4235</v>
      </c>
      <c r="F1215" s="1" t="s">
        <v>4236</v>
      </c>
      <c r="G1215" s="1">
        <v>43</v>
      </c>
      <c r="H1215" s="1">
        <v>0</v>
      </c>
      <c r="I1215" s="1">
        <v>2023</v>
      </c>
      <c r="J1215" s="1">
        <v>31</v>
      </c>
      <c r="K1215" s="1" t="s">
        <v>396</v>
      </c>
      <c r="O1215" s="1" t="s">
        <v>4237</v>
      </c>
    </row>
    <row r="1216" spans="1:16" ht="15.75" customHeight="1">
      <c r="A1216" s="1" t="s">
        <v>0</v>
      </c>
      <c r="B1216" s="1" t="s">
        <v>3649</v>
      </c>
      <c r="C1216" s="1" t="s">
        <v>3650</v>
      </c>
      <c r="D1216" s="1" t="s">
        <v>2073</v>
      </c>
      <c r="E1216" s="1" t="s">
        <v>3651</v>
      </c>
      <c r="F1216" s="1" t="s">
        <v>3652</v>
      </c>
      <c r="G1216" s="1">
        <v>32</v>
      </c>
      <c r="H1216" s="1">
        <v>0</v>
      </c>
      <c r="I1216" s="1">
        <v>2023</v>
      </c>
      <c r="J1216" s="1">
        <v>15</v>
      </c>
      <c r="K1216" s="1">
        <v>1</v>
      </c>
      <c r="L1216" s="1">
        <v>95</v>
      </c>
      <c r="M1216" s="1">
        <v>120</v>
      </c>
      <c r="N1216" s="1" t="s">
        <v>6</v>
      </c>
      <c r="O1216" s="1" t="s">
        <v>6</v>
      </c>
      <c r="P1216" s="1" t="s">
        <v>6</v>
      </c>
    </row>
    <row r="1217" spans="1:16" ht="15.75" customHeight="1">
      <c r="A1217" s="1" t="s">
        <v>0</v>
      </c>
      <c r="B1217" s="1" t="s">
        <v>3058</v>
      </c>
      <c r="C1217" s="1" t="s">
        <v>3059</v>
      </c>
      <c r="D1217" s="1" t="s">
        <v>1009</v>
      </c>
      <c r="E1217" s="1" t="s">
        <v>3060</v>
      </c>
      <c r="F1217" s="1" t="s">
        <v>3061</v>
      </c>
      <c r="G1217" s="1">
        <v>36</v>
      </c>
      <c r="H1217" s="1">
        <v>0</v>
      </c>
      <c r="I1217" s="1">
        <v>2023</v>
      </c>
      <c r="J1217" s="1">
        <v>29</v>
      </c>
      <c r="K1217" s="1">
        <v>117</v>
      </c>
      <c r="L1217" s="1">
        <v>33</v>
      </c>
      <c r="M1217" s="1">
        <v>56</v>
      </c>
      <c r="N1217" s="1" t="s">
        <v>6</v>
      </c>
      <c r="O1217" s="1" t="s">
        <v>3062</v>
      </c>
      <c r="P1217" s="3" t="str">
        <f>HYPERLINK("http://dx.doi.org/10.22185/24487147.2023.117.19","http://dx.doi.org/10.22185/24487147.2023.117.19")</f>
        <v>http://dx.doi.org/10.22185/24487147.2023.117.19</v>
      </c>
    </row>
    <row r="1218" spans="1:16" ht="15.75" customHeight="1">
      <c r="A1218" s="1" t="s">
        <v>0</v>
      </c>
      <c r="B1218" s="1" t="s">
        <v>2812</v>
      </c>
      <c r="C1218" s="1" t="s">
        <v>2813</v>
      </c>
      <c r="D1218" s="1" t="s">
        <v>2814</v>
      </c>
      <c r="E1218" s="1" t="s">
        <v>2815</v>
      </c>
      <c r="F1218" s="1" t="s">
        <v>2816</v>
      </c>
      <c r="G1218" s="1">
        <v>33</v>
      </c>
      <c r="H1218" s="1">
        <v>0</v>
      </c>
      <c r="I1218" s="1">
        <v>2023</v>
      </c>
      <c r="J1218" s="1" t="s">
        <v>6</v>
      </c>
      <c r="K1218" s="1" t="s">
        <v>6</v>
      </c>
      <c r="L1218" s="1" t="s">
        <v>6</v>
      </c>
      <c r="M1218" s="1" t="s">
        <v>6</v>
      </c>
      <c r="N1218" s="1" t="s">
        <v>6</v>
      </c>
      <c r="O1218" s="1" t="s">
        <v>2817</v>
      </c>
      <c r="P1218" s="3" t="str">
        <f>HYPERLINK("http://dx.doi.org/10.1177/10443894231186194","http://dx.doi.org/10.1177/10443894231186194")</f>
        <v>http://dx.doi.org/10.1177/10443894231186194</v>
      </c>
    </row>
    <row r="1219" spans="1:16" ht="15.75" customHeight="1">
      <c r="A1219" s="1" t="s">
        <v>0</v>
      </c>
      <c r="B1219" s="1" t="s">
        <v>6483</v>
      </c>
      <c r="C1219" s="1" t="s">
        <v>6484</v>
      </c>
      <c r="D1219" s="1" t="s">
        <v>1639</v>
      </c>
      <c r="E1219" s="1" t="s">
        <v>6485</v>
      </c>
      <c r="F1219" s="1" t="s">
        <v>6486</v>
      </c>
      <c r="G1219" s="1">
        <v>46</v>
      </c>
      <c r="H1219" s="1">
        <v>0</v>
      </c>
      <c r="I1219" s="1">
        <v>2023</v>
      </c>
      <c r="J1219" s="1">
        <v>20</v>
      </c>
      <c r="K1219" s="1">
        <v>51</v>
      </c>
      <c r="L1219" s="1">
        <v>105</v>
      </c>
      <c r="M1219" s="1">
        <v>131</v>
      </c>
      <c r="N1219" s="1" t="s">
        <v>6</v>
      </c>
      <c r="O1219" s="1" t="s">
        <v>6487</v>
      </c>
      <c r="P1219" s="3" t="str">
        <f>HYPERLINK("http://dx.doi.org/10.29092/uacm.v20i51.971","http://dx.doi.org/10.29092/uacm.v20i51.971")</f>
        <v>http://dx.doi.org/10.29092/uacm.v20i51.971</v>
      </c>
    </row>
    <row r="1220" spans="1:16" ht="15.75" customHeight="1">
      <c r="A1220" s="1" t="s">
        <v>0</v>
      </c>
      <c r="B1220" s="1" t="s">
        <v>6950</v>
      </c>
      <c r="C1220" s="1" t="s">
        <v>6951</v>
      </c>
      <c r="D1220" s="1" t="s">
        <v>1264</v>
      </c>
      <c r="E1220" s="1" t="s">
        <v>6952</v>
      </c>
      <c r="F1220" s="1" t="s">
        <v>6953</v>
      </c>
      <c r="G1220" s="1">
        <v>78</v>
      </c>
      <c r="H1220" s="1">
        <v>0</v>
      </c>
      <c r="I1220" s="1">
        <v>2023</v>
      </c>
      <c r="J1220" s="1">
        <v>13</v>
      </c>
      <c r="K1220" s="1">
        <v>1</v>
      </c>
      <c r="L1220" s="1">
        <v>25</v>
      </c>
      <c r="M1220" s="1">
        <v>56</v>
      </c>
      <c r="N1220" s="1" t="s">
        <v>6</v>
      </c>
      <c r="O1220" s="1" t="s">
        <v>6954</v>
      </c>
      <c r="P1220" s="3" t="str">
        <f>HYPERLINK("http://dx.doi.org/10.25115/riem.v13i1.4944","http://dx.doi.org/10.25115/riem.v13i1.4944")</f>
        <v>http://dx.doi.org/10.25115/riem.v13i1.4944</v>
      </c>
    </row>
    <row r="1221" spans="1:16" ht="15.75" customHeight="1">
      <c r="A1221" s="1" t="s">
        <v>0</v>
      </c>
      <c r="B1221" s="1" t="s">
        <v>5532</v>
      </c>
      <c r="C1221" s="1" t="s">
        <v>5533</v>
      </c>
      <c r="D1221" s="1" t="s">
        <v>732</v>
      </c>
      <c r="E1221" s="1" t="s">
        <v>5534</v>
      </c>
      <c r="F1221" s="1" t="s">
        <v>5535</v>
      </c>
      <c r="G1221" s="1">
        <v>18</v>
      </c>
      <c r="H1221" s="1">
        <v>0</v>
      </c>
      <c r="I1221" s="1">
        <v>2023</v>
      </c>
      <c r="J1221" s="1">
        <v>31</v>
      </c>
      <c r="K1221" s="1" t="s">
        <v>1553</v>
      </c>
      <c r="O1221" s="1" t="s">
        <v>5536</v>
      </c>
    </row>
    <row r="1222" spans="1:16" ht="15.75" customHeight="1">
      <c r="A1222" s="1" t="s">
        <v>0</v>
      </c>
      <c r="B1222" s="1" t="s">
        <v>2076</v>
      </c>
      <c r="C1222" s="1" t="s">
        <v>2077</v>
      </c>
      <c r="D1222" s="1" t="s">
        <v>2078</v>
      </c>
      <c r="E1222" s="1" t="s">
        <v>2079</v>
      </c>
      <c r="F1222" s="1" t="s">
        <v>2080</v>
      </c>
      <c r="G1222" s="1">
        <v>40</v>
      </c>
      <c r="H1222" s="1">
        <v>0</v>
      </c>
      <c r="I1222" s="1">
        <v>2023</v>
      </c>
      <c r="J1222" s="1">
        <v>15</v>
      </c>
      <c r="K1222" s="1">
        <v>1</v>
      </c>
      <c r="L1222" s="1">
        <v>145</v>
      </c>
      <c r="M1222" s="1">
        <v>155</v>
      </c>
      <c r="N1222" s="1" t="s">
        <v>6</v>
      </c>
      <c r="O1222" s="1" t="s">
        <v>6</v>
      </c>
      <c r="P1222" s="1" t="s">
        <v>6</v>
      </c>
    </row>
    <row r="1223" spans="1:16" ht="15.75" customHeight="1">
      <c r="A1223" s="1" t="s">
        <v>0</v>
      </c>
      <c r="B1223" s="1" t="s">
        <v>5475</v>
      </c>
      <c r="C1223" s="1" t="s">
        <v>5476</v>
      </c>
      <c r="D1223" s="1" t="s">
        <v>5477</v>
      </c>
      <c r="E1223" s="1" t="s">
        <v>5478</v>
      </c>
      <c r="F1223" s="1" t="s">
        <v>5479</v>
      </c>
      <c r="G1223" s="1">
        <v>26</v>
      </c>
      <c r="H1223" s="1">
        <v>0</v>
      </c>
      <c r="I1223" s="1">
        <v>2023</v>
      </c>
      <c r="J1223" s="1">
        <v>13</v>
      </c>
      <c r="K1223" s="1" t="s">
        <v>6</v>
      </c>
      <c r="L1223" s="1">
        <v>96</v>
      </c>
      <c r="M1223" s="1">
        <v>113</v>
      </c>
      <c r="N1223" s="1" t="s">
        <v>6</v>
      </c>
      <c r="O1223" s="1" t="s">
        <v>6</v>
      </c>
      <c r="P1223" s="1" t="s">
        <v>6</v>
      </c>
    </row>
    <row r="1224" spans="1:16" ht="15.75" customHeight="1">
      <c r="A1224" s="1" t="s">
        <v>10</v>
      </c>
      <c r="B1224" s="1" t="s">
        <v>2455</v>
      </c>
      <c r="C1224" s="1" t="s">
        <v>2456</v>
      </c>
      <c r="D1224" s="1" t="s">
        <v>2457</v>
      </c>
      <c r="F1224" s="1" t="s">
        <v>2458</v>
      </c>
      <c r="H1224" s="1">
        <v>0</v>
      </c>
      <c r="I1224" s="1">
        <v>2023</v>
      </c>
      <c r="J1224" s="1">
        <v>45</v>
      </c>
      <c r="K1224" s="1">
        <v>9</v>
      </c>
      <c r="O1224" s="1" t="s">
        <v>2459</v>
      </c>
    </row>
    <row r="1225" spans="1:16" ht="15.75" customHeight="1">
      <c r="A1225" s="1" t="s">
        <v>10</v>
      </c>
      <c r="B1225" s="1" t="s">
        <v>2229</v>
      </c>
      <c r="C1225" s="1" t="s">
        <v>2230</v>
      </c>
      <c r="D1225" s="1" t="s">
        <v>2231</v>
      </c>
      <c r="E1225" s="1" t="s">
        <v>2232</v>
      </c>
      <c r="F1225" s="1" t="s">
        <v>2233</v>
      </c>
      <c r="H1225" s="1">
        <v>7</v>
      </c>
      <c r="I1225" s="1">
        <v>2024</v>
      </c>
      <c r="J1225" s="1">
        <v>12</v>
      </c>
      <c r="O1225" s="1" t="s">
        <v>2234</v>
      </c>
    </row>
    <row r="1226" spans="1:16" ht="15.75" customHeight="1">
      <c r="A1226" s="1" t="s">
        <v>0</v>
      </c>
      <c r="B1226" s="1" t="s">
        <v>911</v>
      </c>
      <c r="C1226" s="1" t="s">
        <v>912</v>
      </c>
      <c r="D1226" s="1" t="s">
        <v>776</v>
      </c>
      <c r="E1226" s="8" t="s">
        <v>7116</v>
      </c>
      <c r="F1226" s="1" t="s">
        <v>913</v>
      </c>
      <c r="G1226" s="1">
        <v>127</v>
      </c>
      <c r="H1226" s="1">
        <v>6</v>
      </c>
      <c r="I1226" s="1">
        <v>2024</v>
      </c>
      <c r="J1226" s="1">
        <v>58</v>
      </c>
      <c r="K1226" s="1">
        <v>1</v>
      </c>
      <c r="L1226" s="1">
        <v>319</v>
      </c>
      <c r="M1226" s="1">
        <v>346</v>
      </c>
      <c r="N1226" s="1" t="s">
        <v>6</v>
      </c>
      <c r="O1226" s="1" t="s">
        <v>914</v>
      </c>
      <c r="P1226" s="3" t="str">
        <f>HYPERLINK("http://dx.doi.org/10.1177/01979183221142776","http://dx.doi.org/10.1177/01979183221142776")</f>
        <v>http://dx.doi.org/10.1177/01979183221142776</v>
      </c>
    </row>
    <row r="1227" spans="1:16" ht="15.75" customHeight="1">
      <c r="A1227" s="1" t="s">
        <v>0</v>
      </c>
      <c r="B1227" s="1" t="s">
        <v>5746</v>
      </c>
      <c r="C1227" s="1" t="s">
        <v>5757</v>
      </c>
      <c r="D1227" s="1" t="s">
        <v>264</v>
      </c>
      <c r="E1227" s="1" t="s">
        <v>5758</v>
      </c>
      <c r="F1227" s="1" t="s">
        <v>5759</v>
      </c>
      <c r="G1227" s="1">
        <v>47</v>
      </c>
      <c r="H1227" s="1">
        <v>4</v>
      </c>
      <c r="I1227" s="1">
        <v>2024</v>
      </c>
      <c r="J1227" s="1" t="s">
        <v>6</v>
      </c>
      <c r="K1227" s="1" t="s">
        <v>6</v>
      </c>
      <c r="L1227" s="1" t="s">
        <v>6</v>
      </c>
      <c r="M1227" s="1" t="s">
        <v>6</v>
      </c>
      <c r="N1227" s="1" t="s">
        <v>6</v>
      </c>
      <c r="O1227" s="1" t="s">
        <v>5760</v>
      </c>
      <c r="P1227" s="3" t="str">
        <f>HYPERLINK("http://dx.doi.org/10.1080/1369183X.2024.2345993","http://dx.doi.org/10.1080/1369183X.2024.2345993")</f>
        <v>http://dx.doi.org/10.1080/1369183X.2024.2345993</v>
      </c>
    </row>
    <row r="1228" spans="1:16" ht="15.75" customHeight="1">
      <c r="A1228" s="1" t="s">
        <v>0</v>
      </c>
      <c r="B1228" s="1" t="s">
        <v>4156</v>
      </c>
      <c r="C1228" s="1" t="s">
        <v>4157</v>
      </c>
      <c r="D1228" s="1" t="s">
        <v>264</v>
      </c>
      <c r="E1228" s="1" t="s">
        <v>4158</v>
      </c>
      <c r="F1228" s="1" t="s">
        <v>4159</v>
      </c>
      <c r="G1228" s="1">
        <v>136</v>
      </c>
      <c r="H1228" s="1">
        <v>3</v>
      </c>
      <c r="I1228" s="1">
        <v>2024</v>
      </c>
      <c r="J1228" s="1" t="s">
        <v>6</v>
      </c>
      <c r="K1228" s="1" t="s">
        <v>6</v>
      </c>
      <c r="L1228" s="1" t="s">
        <v>6</v>
      </c>
      <c r="M1228" s="1" t="s">
        <v>6</v>
      </c>
      <c r="N1228" s="1" t="s">
        <v>6</v>
      </c>
      <c r="O1228" s="1" t="s">
        <v>4160</v>
      </c>
      <c r="P1228" s="3" t="str">
        <f>HYPERLINK("http://dx.doi.org/10.1080/1369183X.2024.2345988","http://dx.doi.org/10.1080/1369183X.2024.2345988")</f>
        <v>http://dx.doi.org/10.1080/1369183X.2024.2345988</v>
      </c>
    </row>
    <row r="1229" spans="1:16" ht="15.75" customHeight="1">
      <c r="A1229" s="1" t="s">
        <v>0</v>
      </c>
      <c r="B1229" s="1" t="s">
        <v>2486</v>
      </c>
      <c r="C1229" s="1" t="s">
        <v>2492</v>
      </c>
      <c r="D1229" s="1" t="s">
        <v>264</v>
      </c>
      <c r="E1229" s="1" t="s">
        <v>2493</v>
      </c>
      <c r="F1229" s="1" t="s">
        <v>2494</v>
      </c>
      <c r="G1229" s="1">
        <v>65</v>
      </c>
      <c r="H1229" s="1">
        <v>3</v>
      </c>
      <c r="I1229" s="1">
        <v>2024</v>
      </c>
      <c r="J1229" s="1" t="s">
        <v>6</v>
      </c>
      <c r="K1229" s="1" t="s">
        <v>6</v>
      </c>
      <c r="L1229" s="1" t="s">
        <v>6</v>
      </c>
      <c r="M1229" s="1" t="s">
        <v>6</v>
      </c>
      <c r="N1229" s="1" t="s">
        <v>6</v>
      </c>
      <c r="O1229" s="1" t="s">
        <v>2495</v>
      </c>
      <c r="P1229" s="3" t="str">
        <f>HYPERLINK("http://dx.doi.org/10.1080/1369183X.2024.2345994","http://dx.doi.org/10.1080/1369183X.2024.2345994")</f>
        <v>http://dx.doi.org/10.1080/1369183X.2024.2345994</v>
      </c>
    </row>
    <row r="1230" spans="1:16" ht="15.75" customHeight="1">
      <c r="A1230" s="1" t="s">
        <v>0</v>
      </c>
      <c r="B1230" s="1" t="s">
        <v>6016</v>
      </c>
      <c r="C1230" s="1" t="s">
        <v>6021</v>
      </c>
      <c r="D1230" s="1" t="s">
        <v>5212</v>
      </c>
      <c r="E1230" s="1" t="s">
        <v>6022</v>
      </c>
      <c r="F1230" s="1" t="s">
        <v>6023</v>
      </c>
      <c r="G1230" s="1">
        <v>69</v>
      </c>
      <c r="H1230" s="1">
        <v>3</v>
      </c>
      <c r="I1230" s="1">
        <v>2024</v>
      </c>
      <c r="J1230" s="1">
        <v>61</v>
      </c>
      <c r="K1230" s="1">
        <v>4</v>
      </c>
      <c r="L1230" s="1">
        <v>726</v>
      </c>
      <c r="M1230" s="1">
        <v>742</v>
      </c>
      <c r="N1230" s="1" t="s">
        <v>6</v>
      </c>
      <c r="O1230" s="1" t="s">
        <v>6024</v>
      </c>
      <c r="P1230" s="3" t="str">
        <f>HYPERLINK("http://dx.doi.org/10.1177/00420980221114206","http://dx.doi.org/10.1177/00420980221114206")</f>
        <v>http://dx.doi.org/10.1177/00420980221114206</v>
      </c>
    </row>
    <row r="1231" spans="1:16" ht="15.75" customHeight="1">
      <c r="A1231" s="1" t="s">
        <v>10</v>
      </c>
      <c r="B1231" s="1" t="s">
        <v>2044</v>
      </c>
      <c r="C1231" s="1" t="s">
        <v>2045</v>
      </c>
      <c r="D1231" s="1" t="s">
        <v>2046</v>
      </c>
      <c r="E1231" s="1" t="s">
        <v>2047</v>
      </c>
      <c r="F1231" s="1" t="s">
        <v>2048</v>
      </c>
      <c r="H1231" s="1">
        <v>1</v>
      </c>
      <c r="I1231" s="1">
        <v>2024</v>
      </c>
      <c r="J1231" s="1">
        <v>73</v>
      </c>
      <c r="K1231" s="1" t="s">
        <v>2049</v>
      </c>
      <c r="O1231" s="1" t="s">
        <v>2050</v>
      </c>
    </row>
    <row r="1232" spans="1:16" ht="15.75" customHeight="1">
      <c r="A1232" s="1" t="s">
        <v>0</v>
      </c>
      <c r="B1232" s="1" t="s">
        <v>3620</v>
      </c>
      <c r="C1232" s="1" t="s">
        <v>3621</v>
      </c>
      <c r="D1232" s="1" t="s">
        <v>2216</v>
      </c>
      <c r="E1232" s="1" t="s">
        <v>3622</v>
      </c>
      <c r="F1232" s="1" t="s">
        <v>3623</v>
      </c>
      <c r="G1232" s="1">
        <v>40</v>
      </c>
      <c r="H1232" s="1">
        <v>1</v>
      </c>
      <c r="I1232" s="1">
        <v>2024</v>
      </c>
      <c r="J1232" s="1">
        <v>44</v>
      </c>
      <c r="K1232" s="1">
        <v>2</v>
      </c>
      <c r="L1232" s="1">
        <v>268</v>
      </c>
      <c r="M1232" s="1">
        <v>283</v>
      </c>
      <c r="N1232" s="1" t="s">
        <v>6</v>
      </c>
      <c r="O1232" s="1" t="s">
        <v>3624</v>
      </c>
      <c r="P1232" s="3" t="str">
        <f>HYPERLINK("http://dx.doi.org/10.1177/02633957231178526","http://dx.doi.org/10.1177/02633957231178526")</f>
        <v>http://dx.doi.org/10.1177/02633957231178526</v>
      </c>
    </row>
    <row r="1233" spans="1:16" ht="15.75" customHeight="1">
      <c r="A1233" s="1" t="s">
        <v>0</v>
      </c>
      <c r="B1233" s="1" t="s">
        <v>1049</v>
      </c>
      <c r="C1233" s="1" t="s">
        <v>1050</v>
      </c>
      <c r="D1233" s="1" t="s">
        <v>1051</v>
      </c>
      <c r="E1233" s="1" t="s">
        <v>1052</v>
      </c>
      <c r="F1233" s="1" t="s">
        <v>1053</v>
      </c>
      <c r="G1233" s="1">
        <v>42</v>
      </c>
      <c r="H1233" s="1">
        <v>1</v>
      </c>
      <c r="I1233" s="1">
        <v>2024</v>
      </c>
      <c r="J1233" s="1">
        <v>24</v>
      </c>
      <c r="K1233" s="1">
        <v>1</v>
      </c>
      <c r="L1233" s="1" t="s">
        <v>6</v>
      </c>
      <c r="M1233" s="1" t="s">
        <v>6</v>
      </c>
      <c r="N1233" s="1" t="s">
        <v>6</v>
      </c>
      <c r="O1233" s="1" t="s">
        <v>1054</v>
      </c>
      <c r="P1233" s="3" t="str">
        <f>HYPERLINK("http://dx.doi.org/10.1111/glob.12437","http://dx.doi.org/10.1111/glob.12437")</f>
        <v>http://dx.doi.org/10.1111/glob.12437</v>
      </c>
    </row>
    <row r="1234" spans="1:16" ht="15.75" customHeight="1">
      <c r="A1234" s="1" t="s">
        <v>0</v>
      </c>
      <c r="B1234" s="1" t="s">
        <v>1</v>
      </c>
      <c r="C1234" s="1" t="s">
        <v>8</v>
      </c>
      <c r="D1234" s="1" t="s">
        <v>9</v>
      </c>
      <c r="E1234" s="1" t="s">
        <v>11</v>
      </c>
      <c r="F1234" s="1" t="s">
        <v>12</v>
      </c>
      <c r="G1234" s="1">
        <v>46</v>
      </c>
      <c r="H1234" s="1">
        <v>1</v>
      </c>
      <c r="I1234" s="1">
        <v>2024</v>
      </c>
      <c r="J1234" s="1">
        <v>43</v>
      </c>
      <c r="K1234" s="1">
        <v>3</v>
      </c>
      <c r="L1234" s="1">
        <v>262</v>
      </c>
      <c r="M1234" s="1">
        <v>276</v>
      </c>
      <c r="N1234" s="1" t="s">
        <v>6</v>
      </c>
      <c r="O1234" s="1" t="s">
        <v>13</v>
      </c>
      <c r="P1234" s="3" t="str">
        <f>HYPERLINK("http://dx.doi.org/10.1080/01459740.2024.2324890","http://dx.doi.org/10.1080/01459740.2024.2324890")</f>
        <v>http://dx.doi.org/10.1080/01459740.2024.2324890</v>
      </c>
    </row>
    <row r="1235" spans="1:16" ht="15.75" customHeight="1">
      <c r="A1235" s="1" t="s">
        <v>10</v>
      </c>
      <c r="B1235" s="1" t="s">
        <v>5227</v>
      </c>
      <c r="C1235" s="1" t="s">
        <v>5228</v>
      </c>
      <c r="D1235" s="1" t="s">
        <v>5229</v>
      </c>
      <c r="E1235" s="1" t="s">
        <v>5230</v>
      </c>
      <c r="F1235" s="1" t="s">
        <v>5231</v>
      </c>
      <c r="H1235" s="1">
        <v>1</v>
      </c>
      <c r="I1235" s="1">
        <v>2024</v>
      </c>
      <c r="O1235" s="1" t="s">
        <v>5232</v>
      </c>
    </row>
    <row r="1236" spans="1:16" ht="15.75" customHeight="1">
      <c r="A1236" s="1" t="s">
        <v>0</v>
      </c>
      <c r="B1236" s="1" t="s">
        <v>3435</v>
      </c>
      <c r="C1236" s="1" t="s">
        <v>3436</v>
      </c>
      <c r="D1236" s="1" t="s">
        <v>3437</v>
      </c>
      <c r="E1236" s="1" t="s">
        <v>3438</v>
      </c>
      <c r="F1236" s="1" t="s">
        <v>3439</v>
      </c>
      <c r="G1236" s="1">
        <v>20</v>
      </c>
      <c r="H1236" s="1">
        <v>1</v>
      </c>
      <c r="I1236" s="1">
        <v>2024</v>
      </c>
      <c r="J1236" s="1" t="s">
        <v>6</v>
      </c>
      <c r="K1236" s="1" t="s">
        <v>6</v>
      </c>
      <c r="L1236" s="1" t="s">
        <v>6</v>
      </c>
      <c r="M1236" s="1" t="s">
        <v>6</v>
      </c>
      <c r="N1236" s="1" t="s">
        <v>6</v>
      </c>
      <c r="O1236" s="1" t="s">
        <v>3440</v>
      </c>
      <c r="P1236" s="3" t="str">
        <f>HYPERLINK("http://dx.doi.org/10.1002/ijop.13107","http://dx.doi.org/10.1002/ijop.13107")</f>
        <v>http://dx.doi.org/10.1002/ijop.13107</v>
      </c>
    </row>
    <row r="1237" spans="1:16" ht="15.75" customHeight="1">
      <c r="A1237" s="1" t="s">
        <v>10</v>
      </c>
      <c r="B1237" s="1" t="s">
        <v>784</v>
      </c>
      <c r="C1237" s="1" t="s">
        <v>785</v>
      </c>
      <c r="D1237" s="1" t="s">
        <v>786</v>
      </c>
      <c r="E1237" s="1" t="s">
        <v>787</v>
      </c>
      <c r="F1237" s="1" t="s">
        <v>788</v>
      </c>
      <c r="H1237" s="1">
        <v>1</v>
      </c>
      <c r="I1237" s="1">
        <v>2024</v>
      </c>
      <c r="J1237" s="1">
        <v>9</v>
      </c>
      <c r="O1237" s="1" t="s">
        <v>789</v>
      </c>
    </row>
    <row r="1238" spans="1:16" ht="15.75" customHeight="1">
      <c r="A1238" s="1" t="s">
        <v>10</v>
      </c>
      <c r="B1238" s="1" t="s">
        <v>1833</v>
      </c>
      <c r="C1238" s="1" t="s">
        <v>1834</v>
      </c>
      <c r="D1238" s="1" t="s">
        <v>1835</v>
      </c>
      <c r="E1238" s="1" t="s">
        <v>1836</v>
      </c>
      <c r="F1238" s="1" t="s">
        <v>1837</v>
      </c>
      <c r="H1238" s="1">
        <v>1</v>
      </c>
      <c r="I1238" s="1">
        <v>2024</v>
      </c>
      <c r="J1238" s="1">
        <v>54</v>
      </c>
      <c r="K1238" s="1">
        <v>1</v>
      </c>
      <c r="O1238" s="1" t="s">
        <v>1838</v>
      </c>
    </row>
    <row r="1239" spans="1:16" ht="15.75" customHeight="1">
      <c r="A1239" s="1" t="s">
        <v>10</v>
      </c>
      <c r="B1239" s="1" t="s">
        <v>6998</v>
      </c>
      <c r="C1239" s="1" t="s">
        <v>6999</v>
      </c>
      <c r="D1239" s="1" t="s">
        <v>1841</v>
      </c>
      <c r="E1239" s="1" t="s">
        <v>7000</v>
      </c>
      <c r="F1239" s="1" t="s">
        <v>7001</v>
      </c>
      <c r="H1239" s="1">
        <v>1</v>
      </c>
      <c r="I1239" s="1">
        <v>2024</v>
      </c>
      <c r="J1239" s="1">
        <v>167</v>
      </c>
      <c r="O1239" s="1" t="s">
        <v>7002</v>
      </c>
    </row>
    <row r="1240" spans="1:16" ht="15.75" customHeight="1">
      <c r="A1240" s="1" t="s">
        <v>10</v>
      </c>
      <c r="B1240" s="1" t="s">
        <v>1113</v>
      </c>
      <c r="C1240" s="1" t="s">
        <v>1114</v>
      </c>
      <c r="D1240" s="1" t="s">
        <v>1115</v>
      </c>
      <c r="E1240" s="1" t="s">
        <v>1116</v>
      </c>
      <c r="F1240" s="1" t="s">
        <v>1117</v>
      </c>
      <c r="H1240" s="1">
        <v>1</v>
      </c>
      <c r="I1240" s="1">
        <v>2024</v>
      </c>
      <c r="J1240" s="1">
        <v>64</v>
      </c>
      <c r="K1240" s="1">
        <v>2</v>
      </c>
      <c r="O1240" s="1" t="s">
        <v>1118</v>
      </c>
    </row>
    <row r="1241" spans="1:16" ht="15.75" customHeight="1">
      <c r="A1241" s="1" t="s">
        <v>0</v>
      </c>
      <c r="B1241" s="1" t="s">
        <v>1216</v>
      </c>
      <c r="C1241" s="1" t="s">
        <v>1217</v>
      </c>
      <c r="D1241" s="1" t="s">
        <v>1218</v>
      </c>
      <c r="E1241" s="1" t="s">
        <v>1219</v>
      </c>
      <c r="F1241" s="1" t="s">
        <v>1220</v>
      </c>
      <c r="G1241" s="1">
        <v>57</v>
      </c>
      <c r="H1241" s="1">
        <v>1</v>
      </c>
      <c r="I1241" s="1">
        <v>2024</v>
      </c>
      <c r="J1241" s="1">
        <v>30</v>
      </c>
      <c r="K1241" s="1">
        <v>1</v>
      </c>
      <c r="L1241" s="1" t="s">
        <v>6</v>
      </c>
      <c r="M1241" s="1" t="s">
        <v>6</v>
      </c>
      <c r="N1241" s="1" t="s">
        <v>6</v>
      </c>
      <c r="O1241" s="1" t="s">
        <v>1221</v>
      </c>
      <c r="P1241" s="3" t="str">
        <f>HYPERLINK("http://dx.doi.org/10.1002/psp.2737","http://dx.doi.org/10.1002/psp.2737")</f>
        <v>http://dx.doi.org/10.1002/psp.2737</v>
      </c>
    </row>
    <row r="1242" spans="1:16" ht="15.75" customHeight="1">
      <c r="A1242" s="1" t="s">
        <v>10</v>
      </c>
      <c r="B1242" s="1" t="s">
        <v>5596</v>
      </c>
      <c r="C1242" s="1" t="s">
        <v>5597</v>
      </c>
      <c r="D1242" s="1" t="s">
        <v>5598</v>
      </c>
      <c r="F1242" s="1" t="s">
        <v>5599</v>
      </c>
      <c r="H1242" s="1">
        <v>1</v>
      </c>
      <c r="I1242" s="1">
        <v>2024</v>
      </c>
      <c r="J1242" s="1">
        <v>72</v>
      </c>
      <c r="K1242" s="1">
        <v>1</v>
      </c>
      <c r="O1242" s="1" t="s">
        <v>5600</v>
      </c>
    </row>
    <row r="1243" spans="1:16" ht="15.75" customHeight="1">
      <c r="A1243" s="1" t="s">
        <v>0</v>
      </c>
      <c r="B1243" s="1" t="s">
        <v>2904</v>
      </c>
      <c r="C1243" s="1" t="s">
        <v>2905</v>
      </c>
      <c r="D1243" s="1" t="s">
        <v>963</v>
      </c>
      <c r="E1243" s="8" t="s">
        <v>7124</v>
      </c>
      <c r="F1243" s="1" t="s">
        <v>2906</v>
      </c>
      <c r="G1243" s="1">
        <v>63</v>
      </c>
      <c r="H1243" s="1">
        <v>0</v>
      </c>
      <c r="I1243" s="1">
        <v>2024</v>
      </c>
      <c r="J1243" s="1">
        <v>62</v>
      </c>
      <c r="K1243" s="1">
        <v>1</v>
      </c>
      <c r="L1243" s="1">
        <v>159</v>
      </c>
      <c r="M1243" s="1">
        <v>179</v>
      </c>
      <c r="N1243" s="1" t="s">
        <v>6</v>
      </c>
      <c r="O1243" s="1" t="s">
        <v>2907</v>
      </c>
      <c r="P1243" s="3" t="str">
        <f>HYPERLINK("http://dx.doi.org/10.1111/imig.13208","http://dx.doi.org/10.1111/imig.13208")</f>
        <v>http://dx.doi.org/10.1111/imig.13208</v>
      </c>
    </row>
    <row r="1244" spans="1:16" ht="15.75" customHeight="1">
      <c r="A1244" s="1" t="s">
        <v>10</v>
      </c>
      <c r="B1244" s="1" t="s">
        <v>3180</v>
      </c>
      <c r="C1244" s="1" t="s">
        <v>3181</v>
      </c>
      <c r="D1244" s="1" t="s">
        <v>3182</v>
      </c>
      <c r="E1244" s="1" t="s">
        <v>3183</v>
      </c>
      <c r="F1244" s="1" t="s">
        <v>3184</v>
      </c>
      <c r="H1244" s="1">
        <v>0</v>
      </c>
      <c r="I1244" s="1">
        <v>2024</v>
      </c>
      <c r="O1244" s="1" t="s">
        <v>3185</v>
      </c>
    </row>
    <row r="1245" spans="1:16" ht="15.75" customHeight="1">
      <c r="A1245" s="1" t="s">
        <v>10</v>
      </c>
      <c r="B1245" s="1" t="s">
        <v>637</v>
      </c>
      <c r="C1245" s="1" t="s">
        <v>643</v>
      </c>
      <c r="D1245" s="1" t="s">
        <v>644</v>
      </c>
      <c r="E1245" s="1" t="s">
        <v>645</v>
      </c>
      <c r="F1245" s="1" t="s">
        <v>646</v>
      </c>
      <c r="H1245" s="1">
        <v>0</v>
      </c>
      <c r="I1245" s="1">
        <v>2024</v>
      </c>
      <c r="J1245" s="1">
        <v>42</v>
      </c>
      <c r="O1245" s="1" t="s">
        <v>647</v>
      </c>
    </row>
    <row r="1246" spans="1:16" ht="15.75" customHeight="1">
      <c r="A1246" s="1" t="s">
        <v>10</v>
      </c>
      <c r="B1246" s="1" t="s">
        <v>5862</v>
      </c>
      <c r="C1246" s="1" t="s">
        <v>5863</v>
      </c>
      <c r="D1246" s="1" t="s">
        <v>5864</v>
      </c>
      <c r="E1246" s="1" t="s">
        <v>5865</v>
      </c>
      <c r="F1246" s="1" t="s">
        <v>5866</v>
      </c>
      <c r="H1246" s="1">
        <v>0</v>
      </c>
      <c r="I1246" s="1">
        <v>2024</v>
      </c>
      <c r="J1246" s="1">
        <v>14</v>
      </c>
      <c r="K1246" s="1">
        <v>1</v>
      </c>
      <c r="O1246" s="1" t="s">
        <v>5867</v>
      </c>
    </row>
    <row r="1247" spans="1:16" ht="15.75" customHeight="1">
      <c r="A1247" s="1" t="s">
        <v>0</v>
      </c>
      <c r="B1247" s="1" t="s">
        <v>6722</v>
      </c>
      <c r="C1247" s="1" t="s">
        <v>6723</v>
      </c>
      <c r="D1247" s="1" t="s">
        <v>6724</v>
      </c>
      <c r="E1247" s="1" t="s">
        <v>6725</v>
      </c>
      <c r="F1247" s="1" t="s">
        <v>6726</v>
      </c>
      <c r="G1247" s="1">
        <v>149</v>
      </c>
      <c r="H1247" s="1">
        <v>0</v>
      </c>
      <c r="I1247" s="1">
        <v>2024</v>
      </c>
      <c r="J1247" s="1">
        <v>17</v>
      </c>
      <c r="K1247" s="1">
        <v>1</v>
      </c>
      <c r="L1247" s="1">
        <v>31</v>
      </c>
      <c r="M1247" s="1">
        <v>56</v>
      </c>
      <c r="N1247" s="1" t="s">
        <v>6</v>
      </c>
      <c r="O1247" s="1" t="s">
        <v>6727</v>
      </c>
      <c r="P1247" s="3" t="str">
        <f>HYPERLINK("http://dx.doi.org/10.1007/s12187-023-10075-5","http://dx.doi.org/10.1007/s12187-023-10075-5")</f>
        <v>http://dx.doi.org/10.1007/s12187-023-10075-5</v>
      </c>
    </row>
    <row r="1248" spans="1:16" ht="15.75" customHeight="1">
      <c r="A1248" s="1" t="s">
        <v>10</v>
      </c>
      <c r="B1248" s="1" t="s">
        <v>477</v>
      </c>
      <c r="C1248" s="1" t="s">
        <v>478</v>
      </c>
      <c r="D1248" s="1" t="s">
        <v>479</v>
      </c>
      <c r="E1248" s="1" t="s">
        <v>480</v>
      </c>
      <c r="F1248" s="1" t="s">
        <v>481</v>
      </c>
      <c r="H1248" s="1">
        <v>0</v>
      </c>
      <c r="I1248" s="1">
        <v>2024</v>
      </c>
      <c r="O1248" s="1" t="s">
        <v>482</v>
      </c>
    </row>
    <row r="1249" spans="1:16" ht="15.75" customHeight="1">
      <c r="A1249" s="1" t="s">
        <v>10</v>
      </c>
      <c r="B1249" s="1" t="s">
        <v>6563</v>
      </c>
      <c r="C1249" s="1" t="s">
        <v>6564</v>
      </c>
      <c r="D1249" s="1" t="s">
        <v>596</v>
      </c>
      <c r="E1249" s="1" t="s">
        <v>6565</v>
      </c>
      <c r="F1249" s="1" t="s">
        <v>6566</v>
      </c>
      <c r="H1249" s="1">
        <v>0</v>
      </c>
      <c r="I1249" s="1">
        <v>2024</v>
      </c>
      <c r="J1249" s="1">
        <v>47</v>
      </c>
      <c r="K1249" s="1">
        <v>6</v>
      </c>
      <c r="O1249" s="1" t="s">
        <v>6567</v>
      </c>
    </row>
    <row r="1250" spans="1:16" ht="15.75" customHeight="1">
      <c r="A1250" s="1" t="s">
        <v>10</v>
      </c>
      <c r="B1250" s="1" t="s">
        <v>6068</v>
      </c>
      <c r="C1250" s="1" t="s">
        <v>6069</v>
      </c>
      <c r="D1250" s="1" t="s">
        <v>6070</v>
      </c>
      <c r="E1250" s="1" t="s">
        <v>6071</v>
      </c>
      <c r="F1250" s="1" t="s">
        <v>6072</v>
      </c>
      <c r="H1250" s="1">
        <v>0</v>
      </c>
      <c r="I1250" s="1">
        <v>2024</v>
      </c>
      <c r="O1250" s="1" t="s">
        <v>6073</v>
      </c>
    </row>
    <row r="1251" spans="1:16" ht="15.75" customHeight="1">
      <c r="A1251" s="1" t="s">
        <v>10</v>
      </c>
      <c r="B1251" s="1" t="s">
        <v>5939</v>
      </c>
      <c r="C1251" s="1" t="s">
        <v>5940</v>
      </c>
      <c r="D1251" s="1" t="s">
        <v>5941</v>
      </c>
      <c r="E1251" s="1" t="s">
        <v>5942</v>
      </c>
      <c r="F1251" s="1" t="s">
        <v>5943</v>
      </c>
      <c r="H1251" s="1">
        <v>0</v>
      </c>
      <c r="I1251" s="1">
        <v>2024</v>
      </c>
      <c r="J1251" s="1">
        <v>44</v>
      </c>
      <c r="K1251" s="1">
        <v>2</v>
      </c>
      <c r="O1251" s="1" t="s">
        <v>5944</v>
      </c>
    </row>
    <row r="1252" spans="1:16" ht="15.75" customHeight="1">
      <c r="A1252" s="1" t="s">
        <v>10</v>
      </c>
      <c r="B1252" s="1" t="s">
        <v>3153</v>
      </c>
      <c r="C1252" s="1" t="s">
        <v>3154</v>
      </c>
      <c r="D1252" s="1" t="s">
        <v>786</v>
      </c>
      <c r="E1252" s="1" t="s">
        <v>3155</v>
      </c>
      <c r="F1252" s="1" t="s">
        <v>3156</v>
      </c>
      <c r="H1252" s="1">
        <v>0</v>
      </c>
      <c r="I1252" s="1">
        <v>2024</v>
      </c>
      <c r="J1252" s="1">
        <v>9</v>
      </c>
      <c r="O1252" s="1" t="s">
        <v>3157</v>
      </c>
    </row>
    <row r="1253" spans="1:16" ht="15.75" customHeight="1">
      <c r="A1253" s="1" t="s">
        <v>10</v>
      </c>
      <c r="B1253" s="1" t="s">
        <v>2543</v>
      </c>
      <c r="C1253" s="1" t="s">
        <v>2544</v>
      </c>
      <c r="D1253" s="1" t="s">
        <v>2545</v>
      </c>
      <c r="E1253" s="1" t="s">
        <v>2546</v>
      </c>
      <c r="F1253" s="1" t="s">
        <v>2547</v>
      </c>
      <c r="H1253" s="1">
        <v>0</v>
      </c>
      <c r="I1253" s="1">
        <v>2024</v>
      </c>
      <c r="O1253" s="1" t="s">
        <v>2548</v>
      </c>
    </row>
    <row r="1254" spans="1:16" ht="15.75" customHeight="1">
      <c r="A1254" s="1" t="s">
        <v>0</v>
      </c>
      <c r="B1254" s="1" t="s">
        <v>6091</v>
      </c>
      <c r="C1254" s="1" t="s">
        <v>6092</v>
      </c>
      <c r="D1254" s="1" t="s">
        <v>6093</v>
      </c>
      <c r="E1254" s="1" t="s">
        <v>6094</v>
      </c>
      <c r="F1254" s="1" t="s">
        <v>6095</v>
      </c>
      <c r="G1254" s="1">
        <v>44</v>
      </c>
      <c r="H1254" s="1">
        <v>0</v>
      </c>
      <c r="I1254" s="1">
        <v>2024</v>
      </c>
      <c r="J1254" s="1">
        <v>29</v>
      </c>
      <c r="K1254" s="1">
        <v>1</v>
      </c>
      <c r="L1254" s="1" t="s">
        <v>6</v>
      </c>
      <c r="M1254" s="1" t="s">
        <v>6</v>
      </c>
      <c r="N1254" s="1" t="s">
        <v>6</v>
      </c>
      <c r="O1254" s="1" t="s">
        <v>6096</v>
      </c>
      <c r="P1254" s="3" t="str">
        <f>HYPERLINK("http://dx.doi.org/10.15688/jvolsu4.2024.1.21","http://dx.doi.org/10.15688/jvolsu4.2024.1.21")</f>
        <v>http://dx.doi.org/10.15688/jvolsu4.2024.1.21</v>
      </c>
    </row>
    <row r="1255" spans="1:16" ht="15.75" customHeight="1">
      <c r="A1255" s="1" t="s">
        <v>0</v>
      </c>
      <c r="B1255" s="1" t="s">
        <v>3771</v>
      </c>
      <c r="C1255" s="1" t="s">
        <v>3772</v>
      </c>
      <c r="D1255" s="1" t="s">
        <v>3773</v>
      </c>
      <c r="E1255" s="1" t="s">
        <v>3774</v>
      </c>
      <c r="F1255" s="1" t="s">
        <v>3775</v>
      </c>
      <c r="G1255" s="1">
        <v>66</v>
      </c>
      <c r="H1255" s="1">
        <v>0</v>
      </c>
      <c r="I1255" s="1">
        <v>2024</v>
      </c>
      <c r="J1255" s="1">
        <v>49</v>
      </c>
      <c r="K1255" s="1">
        <v>2</v>
      </c>
      <c r="L1255" s="1">
        <v>133</v>
      </c>
      <c r="M1255" s="1">
        <v>155</v>
      </c>
      <c r="N1255" s="1" t="s">
        <v>6</v>
      </c>
      <c r="O1255" s="1" t="s">
        <v>3776</v>
      </c>
      <c r="P1255" s="3" t="str">
        <f>HYPERLINK("http://dx.doi.org/10.1177/03631990231220601","http://dx.doi.org/10.1177/03631990231220601")</f>
        <v>http://dx.doi.org/10.1177/03631990231220601</v>
      </c>
    </row>
    <row r="1256" spans="1:16" ht="15.75" customHeight="1">
      <c r="A1256" s="1" t="s">
        <v>10</v>
      </c>
      <c r="B1256" s="1" t="s">
        <v>3590</v>
      </c>
      <c r="C1256" s="1" t="s">
        <v>3591</v>
      </c>
      <c r="D1256" s="1" t="s">
        <v>946</v>
      </c>
      <c r="E1256" s="1" t="s">
        <v>3592</v>
      </c>
      <c r="F1256" s="1" t="s">
        <v>3593</v>
      </c>
      <c r="H1256" s="1">
        <v>0</v>
      </c>
      <c r="I1256" s="1">
        <v>2024</v>
      </c>
      <c r="O1256" s="1" t="s">
        <v>3594</v>
      </c>
    </row>
    <row r="1257" spans="1:16" ht="15.75" customHeight="1">
      <c r="A1257" s="1" t="s">
        <v>10</v>
      </c>
      <c r="B1257" s="1" t="s">
        <v>1631</v>
      </c>
      <c r="C1257" s="1" t="s">
        <v>1632</v>
      </c>
      <c r="D1257" s="1" t="s">
        <v>1633</v>
      </c>
      <c r="E1257" s="1" t="s">
        <v>1634</v>
      </c>
      <c r="F1257" s="1" t="s">
        <v>1635</v>
      </c>
      <c r="H1257" s="1">
        <v>0</v>
      </c>
      <c r="I1257" s="1">
        <v>2024</v>
      </c>
      <c r="J1257" s="1">
        <v>39</v>
      </c>
      <c r="K1257" s="1">
        <v>2</v>
      </c>
      <c r="O1257" s="1" t="s">
        <v>1636</v>
      </c>
    </row>
    <row r="1258" spans="1:16" ht="15.75" customHeight="1">
      <c r="A1258" s="1" t="s">
        <v>10</v>
      </c>
      <c r="B1258" s="1" t="s">
        <v>4744</v>
      </c>
      <c r="C1258" s="1" t="s">
        <v>4745</v>
      </c>
      <c r="D1258" s="1" t="s">
        <v>1656</v>
      </c>
      <c r="E1258" s="1" t="s">
        <v>4746</v>
      </c>
      <c r="F1258" s="1" t="s">
        <v>4747</v>
      </c>
      <c r="H1258" s="1">
        <v>0</v>
      </c>
      <c r="I1258" s="1">
        <v>2024</v>
      </c>
      <c r="J1258" s="1">
        <v>24</v>
      </c>
      <c r="K1258" s="1">
        <v>1</v>
      </c>
      <c r="O1258" s="1" t="s">
        <v>4748</v>
      </c>
    </row>
    <row r="1259" spans="1:16" ht="15.75" customHeight="1">
      <c r="A1259" s="1" t="s">
        <v>10</v>
      </c>
      <c r="B1259" s="1" t="s">
        <v>5084</v>
      </c>
      <c r="C1259" s="1" t="s">
        <v>5085</v>
      </c>
      <c r="D1259" s="1" t="s">
        <v>5086</v>
      </c>
      <c r="E1259" s="1" t="s">
        <v>5087</v>
      </c>
      <c r="F1259" s="1" t="s">
        <v>5088</v>
      </c>
      <c r="H1259" s="1">
        <v>0</v>
      </c>
      <c r="I1259" s="1">
        <v>2024</v>
      </c>
      <c r="J1259" s="1">
        <v>23</v>
      </c>
      <c r="K1259" s="1">
        <v>1</v>
      </c>
      <c r="O1259" s="1" t="s">
        <v>5089</v>
      </c>
    </row>
    <row r="1260" spans="1:16" ht="15.75" customHeight="1">
      <c r="A1260" s="1" t="s">
        <v>10</v>
      </c>
      <c r="B1260" s="1" t="s">
        <v>6041</v>
      </c>
      <c r="C1260" s="1" t="s">
        <v>6042</v>
      </c>
      <c r="D1260" s="1" t="s">
        <v>6043</v>
      </c>
      <c r="E1260" s="1" t="s">
        <v>6044</v>
      </c>
      <c r="F1260" s="1" t="s">
        <v>6045</v>
      </c>
      <c r="H1260" s="1">
        <v>0</v>
      </c>
      <c r="I1260" s="1">
        <v>2024</v>
      </c>
      <c r="J1260" s="1">
        <v>2024</v>
      </c>
      <c r="K1260" s="1">
        <v>82</v>
      </c>
      <c r="O1260" s="1" t="s">
        <v>6046</v>
      </c>
    </row>
    <row r="1261" spans="1:16" ht="15.75" customHeight="1">
      <c r="A1261" s="1" t="s">
        <v>0</v>
      </c>
      <c r="B1261" s="1" t="s">
        <v>5312</v>
      </c>
      <c r="C1261" s="1" t="s">
        <v>5313</v>
      </c>
      <c r="D1261" s="1" t="s">
        <v>1051</v>
      </c>
      <c r="E1261" s="1" t="s">
        <v>5314</v>
      </c>
      <c r="F1261" s="1" t="s">
        <v>5315</v>
      </c>
      <c r="G1261" s="1">
        <v>78</v>
      </c>
      <c r="H1261" s="1">
        <v>0</v>
      </c>
      <c r="I1261" s="1">
        <v>2024</v>
      </c>
      <c r="J1261" s="1" t="s">
        <v>6</v>
      </c>
      <c r="K1261" s="1" t="s">
        <v>6</v>
      </c>
      <c r="L1261" s="1" t="s">
        <v>6</v>
      </c>
      <c r="M1261" s="1" t="s">
        <v>6</v>
      </c>
      <c r="N1261" s="1" t="s">
        <v>6</v>
      </c>
      <c r="O1261" s="1" t="s">
        <v>5316</v>
      </c>
      <c r="P1261" s="3" t="str">
        <f>HYPERLINK("http://dx.doi.org/10.1111/glob.12486","http://dx.doi.org/10.1111/glob.12486")</f>
        <v>http://dx.doi.org/10.1111/glob.12486</v>
      </c>
    </row>
    <row r="1262" spans="1:16" ht="15.75" customHeight="1">
      <c r="A1262" s="1" t="s">
        <v>10</v>
      </c>
      <c r="B1262" s="1" t="s">
        <v>428</v>
      </c>
      <c r="C1262" s="1" t="s">
        <v>429</v>
      </c>
      <c r="D1262" s="1" t="s">
        <v>430</v>
      </c>
      <c r="E1262" s="1" t="s">
        <v>431</v>
      </c>
      <c r="F1262" s="1" t="s">
        <v>432</v>
      </c>
      <c r="H1262" s="1">
        <v>0</v>
      </c>
      <c r="I1262" s="1">
        <v>2024</v>
      </c>
      <c r="O1262" s="1" t="s">
        <v>433</v>
      </c>
    </row>
    <row r="1263" spans="1:16" ht="15.75" customHeight="1">
      <c r="A1263" s="1" t="s">
        <v>10</v>
      </c>
      <c r="B1263" s="1" t="s">
        <v>3843</v>
      </c>
      <c r="C1263" s="1" t="s">
        <v>3844</v>
      </c>
      <c r="D1263" s="1" t="s">
        <v>3845</v>
      </c>
      <c r="E1263" s="1" t="s">
        <v>3846</v>
      </c>
      <c r="F1263" s="1" t="s">
        <v>3847</v>
      </c>
      <c r="H1263" s="1">
        <v>0</v>
      </c>
      <c r="I1263" s="1">
        <v>2024</v>
      </c>
      <c r="O1263" s="1" t="s">
        <v>3848</v>
      </c>
    </row>
    <row r="1264" spans="1:16" ht="15.75" customHeight="1">
      <c r="A1264" s="1" t="s">
        <v>0</v>
      </c>
      <c r="B1264" s="1" t="s">
        <v>175</v>
      </c>
      <c r="C1264" s="1" t="s">
        <v>176</v>
      </c>
      <c r="D1264" s="1" t="s">
        <v>177</v>
      </c>
      <c r="E1264" s="1" t="s">
        <v>178</v>
      </c>
      <c r="F1264" s="1" t="s">
        <v>179</v>
      </c>
      <c r="G1264" s="1">
        <v>86</v>
      </c>
      <c r="H1264" s="1">
        <v>0</v>
      </c>
      <c r="I1264" s="1">
        <v>2024</v>
      </c>
      <c r="J1264" s="1">
        <v>29</v>
      </c>
      <c r="K1264" s="1">
        <v>45</v>
      </c>
      <c r="L1264" s="1" t="s">
        <v>6</v>
      </c>
      <c r="M1264" s="1" t="s">
        <v>6</v>
      </c>
      <c r="N1264" s="1" t="s">
        <v>6</v>
      </c>
      <c r="O1264" s="1" t="s">
        <v>180</v>
      </c>
      <c r="P1264" s="3" t="str">
        <f>HYPERLINK("http://dx.doi.org/10.17081/just.29.45.7178","http://dx.doi.org/10.17081/just.29.45.7178")</f>
        <v>http://dx.doi.org/10.17081/just.29.45.7178</v>
      </c>
    </row>
    <row r="1265" spans="1:16" ht="15.75" customHeight="1">
      <c r="A1265" s="1" t="s">
        <v>10</v>
      </c>
      <c r="B1265" s="1" t="s">
        <v>6269</v>
      </c>
      <c r="C1265" s="1" t="s">
        <v>6270</v>
      </c>
      <c r="D1265" s="1" t="s">
        <v>6271</v>
      </c>
      <c r="E1265" s="1" t="s">
        <v>6272</v>
      </c>
      <c r="F1265" s="1" t="s">
        <v>6273</v>
      </c>
      <c r="H1265" s="1">
        <v>0</v>
      </c>
      <c r="I1265" s="1">
        <v>2024</v>
      </c>
      <c r="J1265" s="1">
        <v>15</v>
      </c>
      <c r="K1265" s="1">
        <v>1</v>
      </c>
      <c r="O1265" s="1" t="s">
        <v>6274</v>
      </c>
    </row>
    <row r="1266" spans="1:16" ht="15.75" customHeight="1">
      <c r="A1266" s="1" t="s">
        <v>10</v>
      </c>
      <c r="B1266" s="1" t="s">
        <v>239</v>
      </c>
      <c r="C1266" s="1" t="s">
        <v>240</v>
      </c>
      <c r="D1266" s="1" t="s">
        <v>241</v>
      </c>
      <c r="E1266" s="1" t="s">
        <v>242</v>
      </c>
      <c r="F1266" s="1" t="s">
        <v>243</v>
      </c>
      <c r="H1266" s="1">
        <v>0</v>
      </c>
      <c r="I1266" s="1">
        <v>2024</v>
      </c>
      <c r="J1266" s="1">
        <v>14</v>
      </c>
      <c r="K1266" s="1">
        <v>1</v>
      </c>
      <c r="O1266" s="1" t="s">
        <v>244</v>
      </c>
    </row>
    <row r="1267" spans="1:16" ht="15.75" customHeight="1">
      <c r="A1267" s="1" t="s">
        <v>10</v>
      </c>
      <c r="B1267" s="1" t="s">
        <v>164</v>
      </c>
      <c r="C1267" s="1" t="s">
        <v>165</v>
      </c>
      <c r="D1267" s="1" t="s">
        <v>166</v>
      </c>
      <c r="E1267" s="1" t="s">
        <v>167</v>
      </c>
      <c r="F1267" s="1" t="s">
        <v>168</v>
      </c>
      <c r="H1267" s="1">
        <v>0</v>
      </c>
      <c r="I1267" s="1">
        <v>2024</v>
      </c>
      <c r="J1267" s="1">
        <v>62</v>
      </c>
      <c r="K1267" s="1">
        <v>234</v>
      </c>
    </row>
    <row r="1268" spans="1:16" ht="15.75" customHeight="1">
      <c r="A1268" s="1" t="s">
        <v>10</v>
      </c>
      <c r="B1268" s="1" t="s">
        <v>4161</v>
      </c>
      <c r="C1268" s="1" t="s">
        <v>4162</v>
      </c>
      <c r="D1268" s="1" t="s">
        <v>4163</v>
      </c>
      <c r="E1268" s="1" t="s">
        <v>4164</v>
      </c>
      <c r="F1268" s="1" t="s">
        <v>4165</v>
      </c>
      <c r="H1268" s="1">
        <v>0</v>
      </c>
      <c r="I1268" s="1">
        <v>2024</v>
      </c>
      <c r="J1268" s="1">
        <v>46</v>
      </c>
      <c r="K1268" s="1">
        <v>3</v>
      </c>
      <c r="O1268" s="1" t="s">
        <v>4166</v>
      </c>
    </row>
    <row r="1269" spans="1:16" ht="15.75" customHeight="1">
      <c r="A1269" s="1" t="s">
        <v>0</v>
      </c>
      <c r="B1269" s="1" t="s">
        <v>5329</v>
      </c>
      <c r="C1269" s="1" t="s">
        <v>5330</v>
      </c>
      <c r="D1269" s="1" t="s">
        <v>5331</v>
      </c>
      <c r="E1269" s="1" t="s">
        <v>5332</v>
      </c>
      <c r="F1269" s="1" t="s">
        <v>5333</v>
      </c>
      <c r="G1269" s="1">
        <v>4</v>
      </c>
      <c r="H1269" s="1">
        <v>0</v>
      </c>
      <c r="I1269" s="1">
        <v>2024</v>
      </c>
      <c r="J1269" s="1">
        <v>73</v>
      </c>
      <c r="K1269" s="1">
        <v>1</v>
      </c>
      <c r="L1269" s="1">
        <v>177</v>
      </c>
      <c r="M1269" s="1">
        <v>208</v>
      </c>
      <c r="N1269" s="1" t="s">
        <v>6</v>
      </c>
      <c r="O1269" s="1" t="s">
        <v>5334</v>
      </c>
      <c r="P1269" s="3" t="str">
        <f>HYPERLINK("http://dx.doi.org/10.1017/S0020589323000477","http://dx.doi.org/10.1017/S0020589323000477")</f>
        <v>http://dx.doi.org/10.1017/S0020589323000477</v>
      </c>
    </row>
    <row r="1270" spans="1:16" ht="15.75" customHeight="1">
      <c r="A1270" s="1" t="s">
        <v>10</v>
      </c>
      <c r="B1270" s="1" t="s">
        <v>6085</v>
      </c>
      <c r="C1270" s="1" t="s">
        <v>6086</v>
      </c>
      <c r="D1270" s="1" t="s">
        <v>6087</v>
      </c>
      <c r="E1270" s="1" t="s">
        <v>6088</v>
      </c>
      <c r="F1270" s="1" t="s">
        <v>6089</v>
      </c>
      <c r="H1270" s="1">
        <v>0</v>
      </c>
      <c r="I1270" s="1">
        <v>2024</v>
      </c>
      <c r="J1270" s="1">
        <v>12</v>
      </c>
      <c r="K1270" s="1">
        <v>2</v>
      </c>
      <c r="O1270" s="1" t="s">
        <v>6090</v>
      </c>
    </row>
    <row r="1271" spans="1:16" ht="15.75" customHeight="1">
      <c r="A1271" s="1" t="s">
        <v>10</v>
      </c>
      <c r="B1271" s="1" t="s">
        <v>2315</v>
      </c>
      <c r="C1271" s="1" t="s">
        <v>2316</v>
      </c>
      <c r="D1271" s="1" t="s">
        <v>2317</v>
      </c>
      <c r="E1271" s="1" t="s">
        <v>2318</v>
      </c>
      <c r="F1271" s="1" t="s">
        <v>2319</v>
      </c>
      <c r="H1271" s="1">
        <v>0</v>
      </c>
      <c r="I1271" s="1">
        <v>2024</v>
      </c>
      <c r="O1271" s="1" t="s">
        <v>2320</v>
      </c>
    </row>
    <row r="1272" spans="1:16" ht="15.75" customHeight="1">
      <c r="A1272" s="1" t="s">
        <v>10</v>
      </c>
      <c r="B1272" s="1" t="s">
        <v>5786</v>
      </c>
      <c r="C1272" s="1" t="s">
        <v>5787</v>
      </c>
      <c r="D1272" s="1" t="s">
        <v>5788</v>
      </c>
      <c r="E1272" s="1" t="s">
        <v>5789</v>
      </c>
      <c r="F1272" s="1" t="s">
        <v>5790</v>
      </c>
      <c r="H1272" s="1">
        <v>0</v>
      </c>
      <c r="I1272" s="1">
        <v>2024</v>
      </c>
      <c r="O1272" s="1" t="s">
        <v>5791</v>
      </c>
    </row>
    <row r="1273" spans="1:16" ht="15.75" customHeight="1">
      <c r="A1273" s="1" t="s">
        <v>10</v>
      </c>
      <c r="B1273" s="1" t="s">
        <v>6656</v>
      </c>
      <c r="C1273" s="2" t="s">
        <v>6657</v>
      </c>
      <c r="D1273" s="1" t="s">
        <v>6658</v>
      </c>
      <c r="E1273" s="1" t="s">
        <v>6659</v>
      </c>
      <c r="F1273" s="1" t="s">
        <v>6660</v>
      </c>
      <c r="H1273" s="1">
        <v>0</v>
      </c>
      <c r="I1273" s="1">
        <v>2024</v>
      </c>
      <c r="J1273" s="1">
        <v>14</v>
      </c>
      <c r="K1273" s="1">
        <v>3</v>
      </c>
      <c r="O1273" s="1" t="s">
        <v>6661</v>
      </c>
    </row>
    <row r="1274" spans="1:16" ht="15.75" customHeight="1">
      <c r="A1274" s="1" t="s">
        <v>10</v>
      </c>
      <c r="B1274" s="1" t="s">
        <v>3897</v>
      </c>
      <c r="C1274" s="1" t="s">
        <v>3898</v>
      </c>
      <c r="D1274" s="1" t="s">
        <v>3899</v>
      </c>
      <c r="E1274" s="1" t="s">
        <v>3900</v>
      </c>
      <c r="F1274" s="1" t="s">
        <v>3901</v>
      </c>
      <c r="H1274" s="1">
        <v>0</v>
      </c>
      <c r="I1274" s="1">
        <v>2024</v>
      </c>
      <c r="J1274" s="1">
        <v>25</v>
      </c>
      <c r="O1274" s="1" t="s">
        <v>3902</v>
      </c>
    </row>
    <row r="1275" spans="1:16" ht="15.75" customHeight="1">
      <c r="A1275" s="1" t="s">
        <v>10</v>
      </c>
      <c r="B1275" s="1" t="s">
        <v>2779</v>
      </c>
      <c r="C1275" s="1" t="s">
        <v>2780</v>
      </c>
      <c r="D1275" s="1" t="s">
        <v>1633</v>
      </c>
      <c r="E1275" s="1" t="s">
        <v>2781</v>
      </c>
      <c r="F1275" s="1" t="s">
        <v>2782</v>
      </c>
      <c r="H1275" s="1">
        <v>0</v>
      </c>
      <c r="I1275" s="1">
        <v>2024</v>
      </c>
      <c r="J1275" s="1">
        <v>39</v>
      </c>
      <c r="K1275" s="1">
        <v>1</v>
      </c>
      <c r="O1275" s="1" t="s">
        <v>2783</v>
      </c>
    </row>
    <row r="1276" spans="1:16" ht="15.75" customHeight="1">
      <c r="A1276" s="1" t="s">
        <v>10</v>
      </c>
      <c r="B1276" s="1" t="s">
        <v>2559</v>
      </c>
      <c r="C1276" s="1" t="s">
        <v>2560</v>
      </c>
      <c r="D1276" s="1" t="s">
        <v>1627</v>
      </c>
      <c r="E1276" s="1" t="s">
        <v>2561</v>
      </c>
      <c r="F1276" s="1" t="s">
        <v>2562</v>
      </c>
      <c r="H1276" s="1">
        <v>0</v>
      </c>
      <c r="I1276" s="1">
        <v>2024</v>
      </c>
      <c r="J1276" s="1">
        <v>17</v>
      </c>
      <c r="K1276" s="1">
        <v>1</v>
      </c>
      <c r="O1276" s="1" t="s">
        <v>2563</v>
      </c>
    </row>
    <row r="1277" spans="1:16" ht="15.75" customHeight="1">
      <c r="A1277" s="1" t="s">
        <v>10</v>
      </c>
      <c r="B1277" s="1" t="s">
        <v>3739</v>
      </c>
      <c r="C1277" s="1" t="s">
        <v>3740</v>
      </c>
      <c r="D1277" s="1" t="s">
        <v>166</v>
      </c>
      <c r="E1277" s="1" t="s">
        <v>3741</v>
      </c>
      <c r="F1277" s="1" t="s">
        <v>3742</v>
      </c>
      <c r="H1277" s="1">
        <v>0</v>
      </c>
      <c r="I1277" s="1">
        <v>2024</v>
      </c>
      <c r="J1277" s="1">
        <v>62</v>
      </c>
      <c r="K1277" s="1">
        <v>234</v>
      </c>
    </row>
    <row r="1278" spans="1:16" ht="15.75" customHeight="1">
      <c r="A1278" s="1" t="s">
        <v>0</v>
      </c>
      <c r="B1278" s="1" t="s">
        <v>2065</v>
      </c>
      <c r="C1278" s="1" t="s">
        <v>2066</v>
      </c>
      <c r="D1278" s="1" t="s">
        <v>2067</v>
      </c>
      <c r="E1278" s="1" t="s">
        <v>2068</v>
      </c>
      <c r="F1278" s="1" t="s">
        <v>2069</v>
      </c>
      <c r="G1278" s="1">
        <v>68</v>
      </c>
      <c r="H1278" s="1">
        <v>0</v>
      </c>
      <c r="I1278" s="1">
        <v>2024</v>
      </c>
      <c r="J1278" s="1" t="s">
        <v>6</v>
      </c>
      <c r="K1278" s="1" t="s">
        <v>6</v>
      </c>
      <c r="L1278" s="1" t="s">
        <v>6</v>
      </c>
      <c r="M1278" s="1" t="s">
        <v>6</v>
      </c>
      <c r="N1278" s="1" t="s">
        <v>6</v>
      </c>
      <c r="O1278" s="1" t="s">
        <v>2070</v>
      </c>
      <c r="P1278" s="3" t="str">
        <f>HYPERLINK("http://dx.doi.org/10.1093/wbro/lkae009","http://dx.doi.org/10.1093/wbro/lkae009")</f>
        <v>http://dx.doi.org/10.1093/wbro/lkae009</v>
      </c>
    </row>
    <row r="1279" spans="1:16" ht="15.75" customHeight="1">
      <c r="A1279" s="1" t="s">
        <v>0</v>
      </c>
      <c r="B1279" s="1" t="s">
        <v>38</v>
      </c>
      <c r="C1279" s="1" t="s">
        <v>39</v>
      </c>
      <c r="D1279" s="1" t="s">
        <v>40</v>
      </c>
      <c r="E1279" s="1" t="s">
        <v>41</v>
      </c>
      <c r="F1279" s="1" t="s">
        <v>42</v>
      </c>
      <c r="G1279" s="1">
        <v>68</v>
      </c>
      <c r="H1279" s="1">
        <v>0</v>
      </c>
      <c r="I1279" s="1">
        <v>2024</v>
      </c>
      <c r="J1279" s="1" t="s">
        <v>6</v>
      </c>
      <c r="K1279" s="1" t="s">
        <v>6</v>
      </c>
      <c r="L1279" s="1" t="s">
        <v>6</v>
      </c>
      <c r="M1279" s="1" t="s">
        <v>6</v>
      </c>
      <c r="N1279" s="1" t="s">
        <v>6</v>
      </c>
      <c r="O1279" s="1" t="s">
        <v>43</v>
      </c>
      <c r="P1279" s="3" t="str">
        <f>HYPERLINK("http://dx.doi.org/10.1007/s10734-024-01213-1","http://dx.doi.org/10.1007/s10734-024-01213-1")</f>
        <v>http://dx.doi.org/10.1007/s10734-024-01213-1</v>
      </c>
    </row>
    <row r="1280" spans="1:16" ht="15.75" customHeight="1">
      <c r="A1280" s="1" t="s">
        <v>0</v>
      </c>
      <c r="B1280" s="1" t="s">
        <v>3909</v>
      </c>
      <c r="C1280" s="1" t="s">
        <v>3910</v>
      </c>
      <c r="D1280" s="1" t="s">
        <v>3911</v>
      </c>
      <c r="E1280" s="1" t="s">
        <v>3912</v>
      </c>
      <c r="F1280" s="1" t="s">
        <v>3913</v>
      </c>
      <c r="G1280" s="1">
        <v>70</v>
      </c>
      <c r="H1280" s="1">
        <v>0</v>
      </c>
      <c r="I1280" s="1">
        <v>2024</v>
      </c>
      <c r="J1280" s="1">
        <v>39</v>
      </c>
      <c r="K1280" s="1">
        <v>3</v>
      </c>
      <c r="L1280" s="1">
        <v>387</v>
      </c>
      <c r="M1280" s="1">
        <v>409</v>
      </c>
      <c r="N1280" s="1" t="s">
        <v>6</v>
      </c>
      <c r="O1280" s="1" t="s">
        <v>3914</v>
      </c>
      <c r="P1280" s="3" t="str">
        <f>HYPERLINK("http://dx.doi.org/10.1080/08865655.2022.2115387","http://dx.doi.org/10.1080/08865655.2022.2115387")</f>
        <v>http://dx.doi.org/10.1080/08865655.2022.2115387</v>
      </c>
    </row>
    <row r="1281" spans="1:16" ht="15.75" customHeight="1">
      <c r="A1281" s="1" t="s">
        <v>0</v>
      </c>
      <c r="B1281" s="1" t="s">
        <v>1807</v>
      </c>
      <c r="C1281" s="1" t="s">
        <v>1808</v>
      </c>
      <c r="D1281" s="1" t="s">
        <v>1809</v>
      </c>
      <c r="E1281" s="1" t="s">
        <v>1810</v>
      </c>
      <c r="F1281" s="1" t="s">
        <v>1811</v>
      </c>
      <c r="G1281" s="1">
        <v>65</v>
      </c>
      <c r="H1281" s="1">
        <v>0</v>
      </c>
      <c r="I1281" s="1">
        <v>2024</v>
      </c>
      <c r="J1281" s="1">
        <v>52</v>
      </c>
      <c r="K1281" s="1">
        <v>2</v>
      </c>
      <c r="L1281" s="1">
        <v>241</v>
      </c>
      <c r="M1281" s="1">
        <v>258</v>
      </c>
      <c r="N1281" s="1" t="s">
        <v>6</v>
      </c>
      <c r="O1281" s="1" t="s">
        <v>1812</v>
      </c>
      <c r="P1281" s="3" t="str">
        <f>HYPERLINK("http://dx.doi.org/10.1111/etho.12431","http://dx.doi.org/10.1111/etho.12431")</f>
        <v>http://dx.doi.org/10.1111/etho.12431</v>
      </c>
    </row>
    <row r="1282" spans="1:16" ht="15.75" customHeight="1">
      <c r="A1282" s="1" t="s">
        <v>0</v>
      </c>
      <c r="B1282" s="1" t="s">
        <v>822</v>
      </c>
      <c r="C1282" s="1" t="s">
        <v>823</v>
      </c>
      <c r="D1282" s="1" t="s">
        <v>824</v>
      </c>
      <c r="E1282" s="1" t="s">
        <v>825</v>
      </c>
      <c r="F1282" s="1" t="s">
        <v>826</v>
      </c>
      <c r="G1282" s="1">
        <v>67</v>
      </c>
      <c r="H1282" s="1">
        <v>0</v>
      </c>
      <c r="I1282" s="1">
        <v>2024</v>
      </c>
      <c r="J1282" s="1" t="s">
        <v>6</v>
      </c>
      <c r="K1282" s="1" t="s">
        <v>6</v>
      </c>
      <c r="L1282" s="1" t="s">
        <v>6</v>
      </c>
      <c r="M1282" s="1" t="s">
        <v>6</v>
      </c>
      <c r="N1282" s="1" t="s">
        <v>6</v>
      </c>
      <c r="O1282" s="1" t="s">
        <v>827</v>
      </c>
      <c r="P1282" s="3" t="str">
        <f>HYPERLINK("http://dx.doi.org/10.1080/01419870.2024.2349268","http://dx.doi.org/10.1080/01419870.2024.2349268")</f>
        <v>http://dx.doi.org/10.1080/01419870.2024.2349268</v>
      </c>
    </row>
    <row r="1283" spans="1:16" ht="15.75" customHeight="1">
      <c r="A1283" s="1" t="s">
        <v>0</v>
      </c>
      <c r="B1283" s="1" t="s">
        <v>1797</v>
      </c>
      <c r="C1283" s="1" t="s">
        <v>1798</v>
      </c>
      <c r="D1283" s="1" t="s">
        <v>776</v>
      </c>
      <c r="E1283" s="1" t="s">
        <v>1799</v>
      </c>
      <c r="F1283" s="1" t="s">
        <v>1800</v>
      </c>
      <c r="G1283" s="1">
        <v>57</v>
      </c>
      <c r="H1283" s="1">
        <v>0</v>
      </c>
      <c r="I1283" s="1">
        <v>2024</v>
      </c>
      <c r="J1283" s="1" t="s">
        <v>6</v>
      </c>
      <c r="K1283" s="1" t="s">
        <v>6</v>
      </c>
      <c r="L1283" s="1" t="s">
        <v>6</v>
      </c>
      <c r="M1283" s="1" t="s">
        <v>6</v>
      </c>
      <c r="N1283" s="1" t="s">
        <v>6</v>
      </c>
      <c r="O1283" s="1" t="s">
        <v>1801</v>
      </c>
      <c r="P1283" s="3" t="str">
        <f>HYPERLINK("http://dx.doi.org/10.1177/01979183231223700","http://dx.doi.org/10.1177/01979183231223700")</f>
        <v>http://dx.doi.org/10.1177/01979183231223700</v>
      </c>
    </row>
    <row r="1284" spans="1:16" ht="15.75" customHeight="1">
      <c r="A1284" s="1" t="s">
        <v>0</v>
      </c>
      <c r="B1284" s="1" t="s">
        <v>3466</v>
      </c>
      <c r="C1284" s="1" t="s">
        <v>3467</v>
      </c>
      <c r="D1284" s="1" t="s">
        <v>808</v>
      </c>
      <c r="E1284" s="1" t="s">
        <v>3468</v>
      </c>
      <c r="F1284" s="1" t="s">
        <v>3469</v>
      </c>
      <c r="G1284" s="1">
        <v>30</v>
      </c>
      <c r="H1284" s="1">
        <v>0</v>
      </c>
      <c r="I1284" s="1">
        <v>2024</v>
      </c>
      <c r="J1284" s="1" t="s">
        <v>6</v>
      </c>
      <c r="K1284" s="1" t="s">
        <v>6</v>
      </c>
      <c r="L1284" s="1" t="s">
        <v>6</v>
      </c>
      <c r="M1284" s="1" t="s">
        <v>6</v>
      </c>
      <c r="N1284" s="1" t="s">
        <v>6</v>
      </c>
      <c r="O1284" s="1" t="s">
        <v>3470</v>
      </c>
      <c r="P1284" s="3" t="str">
        <f>HYPERLINK("http://dx.doi.org/10.1080/17442222.2024.2306119","http://dx.doi.org/10.1080/17442222.2024.2306119")</f>
        <v>http://dx.doi.org/10.1080/17442222.2024.2306119</v>
      </c>
    </row>
    <row r="1285" spans="1:16" ht="15.75" customHeight="1">
      <c r="A1285" s="1" t="s">
        <v>0</v>
      </c>
      <c r="B1285" s="1" t="s">
        <v>3316</v>
      </c>
      <c r="C1285" s="1" t="s">
        <v>3317</v>
      </c>
      <c r="D1285" s="1" t="s">
        <v>3318</v>
      </c>
      <c r="E1285" s="1" t="s">
        <v>3319</v>
      </c>
      <c r="F1285" s="1" t="s">
        <v>3320</v>
      </c>
      <c r="G1285" s="1">
        <v>68</v>
      </c>
      <c r="H1285" s="1">
        <v>0</v>
      </c>
      <c r="I1285" s="1">
        <v>2024</v>
      </c>
      <c r="J1285" s="1" t="s">
        <v>6</v>
      </c>
      <c r="K1285" s="1" t="s">
        <v>6</v>
      </c>
      <c r="L1285" s="1" t="s">
        <v>6</v>
      </c>
      <c r="M1285" s="1" t="s">
        <v>6</v>
      </c>
      <c r="N1285" s="1" t="s">
        <v>6</v>
      </c>
      <c r="O1285" s="1" t="s">
        <v>3321</v>
      </c>
      <c r="P1285" s="3" t="str">
        <f>HYPERLINK("http://dx.doi.org/10.1080/02673037.2024.2322124","http://dx.doi.org/10.1080/02673037.2024.2322124")</f>
        <v>http://dx.doi.org/10.1080/02673037.2024.2322124</v>
      </c>
    </row>
    <row r="1286" spans="1:16" ht="15.75" customHeight="1">
      <c r="A1286" s="1" t="s">
        <v>10</v>
      </c>
      <c r="B1286" s="1" t="s">
        <v>5069</v>
      </c>
      <c r="C1286" s="1" t="s">
        <v>5070</v>
      </c>
      <c r="D1286" s="1" t="s">
        <v>473</v>
      </c>
      <c r="E1286" s="1" t="s">
        <v>5071</v>
      </c>
      <c r="F1286" s="1" t="s">
        <v>5072</v>
      </c>
      <c r="H1286" s="1">
        <v>0</v>
      </c>
      <c r="I1286" s="1">
        <v>2024</v>
      </c>
      <c r="J1286" s="1">
        <v>50</v>
      </c>
      <c r="K1286" s="1">
        <v>149</v>
      </c>
      <c r="O1286" s="1" t="s">
        <v>5073</v>
      </c>
    </row>
    <row r="1287" spans="1:16" ht="15.75" customHeight="1">
      <c r="A1287" s="1" t="s">
        <v>0</v>
      </c>
      <c r="B1287" s="1" t="s">
        <v>1078</v>
      </c>
      <c r="C1287" s="1" t="s">
        <v>1079</v>
      </c>
      <c r="D1287" s="1" t="s">
        <v>1080</v>
      </c>
      <c r="E1287" s="1" t="s">
        <v>1081</v>
      </c>
      <c r="F1287" s="1" t="s">
        <v>1082</v>
      </c>
      <c r="G1287" s="1">
        <v>40</v>
      </c>
      <c r="H1287" s="1">
        <v>0</v>
      </c>
      <c r="I1287" s="1">
        <v>2024</v>
      </c>
      <c r="J1287" s="1" t="s">
        <v>6</v>
      </c>
      <c r="K1287" s="1">
        <v>40</v>
      </c>
      <c r="L1287" s="1">
        <v>115</v>
      </c>
      <c r="M1287" s="1">
        <v>136</v>
      </c>
      <c r="N1287" s="1" t="s">
        <v>6</v>
      </c>
      <c r="O1287" s="1" t="s">
        <v>1083</v>
      </c>
      <c r="P1287" s="3" t="str">
        <f>HYPERLINK("http://dx.doi.org/10.17163/uni.n40.2024.05","http://dx.doi.org/10.17163/uni.n40.2024.05")</f>
        <v>http://dx.doi.org/10.17163/uni.n40.2024.05</v>
      </c>
    </row>
    <row r="1288" spans="1:16" ht="15.75" customHeight="1">
      <c r="A1288" s="1" t="s">
        <v>10</v>
      </c>
      <c r="B1288" s="1" t="s">
        <v>5562</v>
      </c>
      <c r="C1288" s="1" t="s">
        <v>5563</v>
      </c>
      <c r="D1288" s="1" t="s">
        <v>166</v>
      </c>
      <c r="E1288" s="1" t="s">
        <v>5564</v>
      </c>
      <c r="F1288" s="1" t="s">
        <v>5565</v>
      </c>
      <c r="H1288" s="1">
        <v>0</v>
      </c>
      <c r="I1288" s="1">
        <v>2024</v>
      </c>
      <c r="J1288" s="1">
        <v>62</v>
      </c>
      <c r="K1288" s="1">
        <v>234</v>
      </c>
    </row>
    <row r="1289" spans="1:16" ht="15.75" customHeight="1">
      <c r="A1289" s="1" t="s">
        <v>10</v>
      </c>
      <c r="B1289" s="1" t="s">
        <v>4218</v>
      </c>
      <c r="C1289" s="1" t="s">
        <v>4219</v>
      </c>
      <c r="D1289" s="1" t="s">
        <v>4014</v>
      </c>
      <c r="E1289" s="1" t="s">
        <v>4220</v>
      </c>
      <c r="F1289" s="1" t="s">
        <v>4221</v>
      </c>
      <c r="H1289" s="1">
        <v>0</v>
      </c>
      <c r="I1289" s="1">
        <v>2024</v>
      </c>
      <c r="J1289" s="1">
        <v>47</v>
      </c>
      <c r="K1289" s="1">
        <v>1</v>
      </c>
      <c r="O1289" s="1" t="s">
        <v>4222</v>
      </c>
    </row>
    <row r="1290" spans="1:16" ht="15.75" customHeight="1">
      <c r="A1290" s="1" t="s">
        <v>0</v>
      </c>
      <c r="B1290" s="1" t="s">
        <v>507</v>
      </c>
      <c r="C1290" s="1" t="s">
        <v>508</v>
      </c>
      <c r="D1290" s="1" t="s">
        <v>509</v>
      </c>
      <c r="E1290" s="1" t="s">
        <v>510</v>
      </c>
      <c r="F1290" s="1" t="s">
        <v>511</v>
      </c>
      <c r="G1290" s="1">
        <v>96</v>
      </c>
      <c r="H1290" s="1">
        <v>0</v>
      </c>
      <c r="I1290" s="1">
        <v>2024</v>
      </c>
      <c r="J1290" s="1">
        <v>100</v>
      </c>
      <c r="K1290" s="1" t="s">
        <v>6</v>
      </c>
      <c r="L1290" s="1" t="s">
        <v>6</v>
      </c>
      <c r="M1290" s="1" t="s">
        <v>6</v>
      </c>
      <c r="N1290" s="1">
        <v>101972</v>
      </c>
      <c r="O1290" s="1" t="s">
        <v>512</v>
      </c>
      <c r="P1290" s="3" t="str">
        <f>HYPERLINK("http://dx.doi.org/10.1016/j.ijintrel.2024.101972","http://dx.doi.org/10.1016/j.ijintrel.2024.101972")</f>
        <v>http://dx.doi.org/10.1016/j.ijintrel.2024.101972</v>
      </c>
    </row>
    <row r="1291" spans="1:16" ht="15.75" customHeight="1">
      <c r="A1291" s="1" t="s">
        <v>0</v>
      </c>
      <c r="B1291" s="1" t="s">
        <v>920</v>
      </c>
      <c r="C1291" s="1" t="s">
        <v>921</v>
      </c>
      <c r="D1291" s="1" t="s">
        <v>922</v>
      </c>
      <c r="E1291" s="1" t="s">
        <v>923</v>
      </c>
      <c r="F1291" s="1" t="s">
        <v>924</v>
      </c>
      <c r="G1291" s="1">
        <v>72</v>
      </c>
      <c r="H1291" s="1">
        <v>0</v>
      </c>
      <c r="I1291" s="1">
        <v>2024</v>
      </c>
      <c r="J1291" s="1">
        <v>11</v>
      </c>
      <c r="K1291" s="1" t="s">
        <v>6</v>
      </c>
      <c r="L1291" s="1">
        <v>489</v>
      </c>
      <c r="M1291" s="1">
        <v>516</v>
      </c>
      <c r="N1291" s="1" t="s">
        <v>6</v>
      </c>
      <c r="O1291" s="1" t="s">
        <v>925</v>
      </c>
      <c r="P1291" s="3" t="str">
        <f>HYPERLINK("http://dx.doi.org/10.15195/v11.a18","http://dx.doi.org/10.15195/v11.a18")</f>
        <v>http://dx.doi.org/10.15195/v11.a18</v>
      </c>
    </row>
    <row r="1292" spans="1:16" ht="15.75" customHeight="1">
      <c r="A1292" s="1" t="s">
        <v>0</v>
      </c>
      <c r="B1292" s="1" t="s">
        <v>316</v>
      </c>
      <c r="C1292" s="1" t="s">
        <v>317</v>
      </c>
      <c r="D1292" s="1" t="s">
        <v>318</v>
      </c>
      <c r="E1292" s="1" t="s">
        <v>319</v>
      </c>
      <c r="F1292" s="1" t="s">
        <v>320</v>
      </c>
      <c r="G1292" s="1">
        <v>47</v>
      </c>
      <c r="H1292" s="1">
        <v>0</v>
      </c>
      <c r="I1292" s="1">
        <v>2024</v>
      </c>
      <c r="J1292" s="1" t="s">
        <v>6</v>
      </c>
      <c r="K1292" s="1" t="s">
        <v>6</v>
      </c>
      <c r="L1292" s="1" t="s">
        <v>6</v>
      </c>
      <c r="M1292" s="1" t="s">
        <v>6</v>
      </c>
      <c r="N1292" s="1" t="s">
        <v>6</v>
      </c>
      <c r="O1292" s="1" t="s">
        <v>321</v>
      </c>
      <c r="P1292" s="3" t="str">
        <f>HYPERLINK("http://dx.doi.org/10.1017/S003329172400117X","http://dx.doi.org/10.1017/S003329172400117X")</f>
        <v>http://dx.doi.org/10.1017/S003329172400117X</v>
      </c>
    </row>
    <row r="1293" spans="1:16" ht="15.75" customHeight="1">
      <c r="A1293" s="1" t="s">
        <v>10</v>
      </c>
      <c r="B1293" s="1" t="s">
        <v>2898</v>
      </c>
      <c r="C1293" s="1" t="s">
        <v>2899</v>
      </c>
      <c r="D1293" s="1" t="s">
        <v>2900</v>
      </c>
      <c r="E1293" s="1" t="s">
        <v>2901</v>
      </c>
      <c r="F1293" s="1" t="s">
        <v>2902</v>
      </c>
      <c r="H1293" s="1">
        <v>0</v>
      </c>
      <c r="I1293" s="1">
        <v>2024</v>
      </c>
      <c r="J1293" s="1">
        <v>249</v>
      </c>
      <c r="O1293" s="1" t="s">
        <v>2903</v>
      </c>
    </row>
    <row r="1294" spans="1:16" ht="15.75" customHeight="1">
      <c r="A1294" s="1" t="s">
        <v>10</v>
      </c>
      <c r="B1294" s="1" t="s">
        <v>4550</v>
      </c>
      <c r="C1294" s="1" t="s">
        <v>4551</v>
      </c>
      <c r="D1294" s="1" t="s">
        <v>3018</v>
      </c>
      <c r="E1294" s="1" t="s">
        <v>4552</v>
      </c>
      <c r="F1294" s="1" t="s">
        <v>4553</v>
      </c>
      <c r="H1294" s="1">
        <v>0</v>
      </c>
      <c r="I1294" s="1">
        <v>2024</v>
      </c>
      <c r="J1294" s="1">
        <v>105</v>
      </c>
      <c r="O1294" s="1" t="s">
        <v>4554</v>
      </c>
    </row>
    <row r="1295" spans="1:16" ht="15.75" customHeight="1">
      <c r="A1295" s="1" t="s">
        <v>10</v>
      </c>
      <c r="B1295" s="1" t="s">
        <v>5053</v>
      </c>
      <c r="C1295" s="1" t="s">
        <v>5054</v>
      </c>
      <c r="D1295" s="1" t="s">
        <v>5055</v>
      </c>
      <c r="E1295" s="1" t="s">
        <v>5056</v>
      </c>
      <c r="F1295" s="1" t="s">
        <v>5057</v>
      </c>
      <c r="H1295" s="1">
        <v>0</v>
      </c>
      <c r="I1295" s="1">
        <v>2024</v>
      </c>
      <c r="O1295" s="1" t="s">
        <v>5058</v>
      </c>
    </row>
    <row r="1296" spans="1:16" ht="15.75" customHeight="1">
      <c r="A1296" s="1" t="s">
        <v>0</v>
      </c>
      <c r="B1296" s="1" t="s">
        <v>1037</v>
      </c>
      <c r="C1296" s="1" t="s">
        <v>1038</v>
      </c>
      <c r="D1296" s="1" t="s">
        <v>1039</v>
      </c>
      <c r="E1296" s="1" t="s">
        <v>1040</v>
      </c>
      <c r="F1296" s="1" t="s">
        <v>1041</v>
      </c>
      <c r="G1296" s="1">
        <v>67</v>
      </c>
      <c r="H1296" s="1">
        <v>0</v>
      </c>
      <c r="I1296" s="1">
        <v>2024</v>
      </c>
      <c r="J1296" s="1">
        <v>19</v>
      </c>
      <c r="K1296" s="1" t="s">
        <v>6</v>
      </c>
      <c r="L1296" s="1" t="s">
        <v>6</v>
      </c>
      <c r="M1296" s="1" t="s">
        <v>6</v>
      </c>
      <c r="N1296" s="1">
        <v>3</v>
      </c>
      <c r="O1296" s="1" t="s">
        <v>1042</v>
      </c>
      <c r="P1296" s="3" t="str">
        <f>HYPERLINK("http://dx.doi.org/10.4067/s0718-50652024000100203","http://dx.doi.org/10.4067/s0718-50652024000100203")</f>
        <v>http://dx.doi.org/10.4067/s0718-50652024000100203</v>
      </c>
    </row>
    <row r="1297" spans="1:16" ht="15.75" customHeight="1">
      <c r="A1297" s="1" t="s">
        <v>10</v>
      </c>
      <c r="B1297" s="1" t="s">
        <v>501</v>
      </c>
      <c r="C1297" s="1" t="s">
        <v>502</v>
      </c>
      <c r="D1297" s="1" t="s">
        <v>503</v>
      </c>
      <c r="E1297" s="1" t="s">
        <v>504</v>
      </c>
      <c r="F1297" s="1" t="s">
        <v>505</v>
      </c>
      <c r="H1297" s="1">
        <v>0</v>
      </c>
      <c r="I1297" s="1">
        <v>2024</v>
      </c>
      <c r="J1297" s="1">
        <v>119</v>
      </c>
      <c r="O1297" s="1" t="s">
        <v>506</v>
      </c>
    </row>
    <row r="1298" spans="1:16" ht="15.75" customHeight="1">
      <c r="A1298" s="1" t="s">
        <v>10</v>
      </c>
      <c r="B1298" s="1" t="s">
        <v>1625</v>
      </c>
      <c r="C1298" s="1" t="s">
        <v>1626</v>
      </c>
      <c r="D1298" s="1" t="s">
        <v>1627</v>
      </c>
      <c r="E1298" s="1" t="s">
        <v>1628</v>
      </c>
      <c r="F1298" s="1" t="s">
        <v>1629</v>
      </c>
      <c r="H1298" s="1">
        <v>0</v>
      </c>
      <c r="I1298" s="1">
        <v>2024</v>
      </c>
      <c r="J1298" s="1">
        <v>17</v>
      </c>
      <c r="K1298" s="1">
        <v>1</v>
      </c>
      <c r="O1298" s="1" t="s">
        <v>1630</v>
      </c>
    </row>
    <row r="1299" spans="1:16" ht="15.75" customHeight="1">
      <c r="A1299" s="1" t="s">
        <v>0</v>
      </c>
      <c r="B1299" s="1" t="s">
        <v>3112</v>
      </c>
      <c r="C1299" s="1" t="s">
        <v>3113</v>
      </c>
      <c r="D1299" s="1" t="s">
        <v>3114</v>
      </c>
      <c r="E1299" s="1" t="s">
        <v>3115</v>
      </c>
      <c r="F1299" s="1" t="s">
        <v>3116</v>
      </c>
      <c r="G1299" s="1">
        <v>50</v>
      </c>
      <c r="H1299" s="1">
        <v>0</v>
      </c>
      <c r="I1299" s="1">
        <v>2024</v>
      </c>
      <c r="J1299" s="1">
        <v>49</v>
      </c>
      <c r="K1299" s="1">
        <v>1</v>
      </c>
      <c r="L1299" s="1">
        <v>91</v>
      </c>
      <c r="M1299" s="1">
        <v>112</v>
      </c>
      <c r="N1299" s="1" t="s">
        <v>6</v>
      </c>
      <c r="O1299" s="1" t="s">
        <v>3117</v>
      </c>
      <c r="P1299" s="3" t="str">
        <f>HYPERLINK("http://dx.doi.org/10.1080/08263663.2023.2271302","http://dx.doi.org/10.1080/08263663.2023.2271302")</f>
        <v>http://dx.doi.org/10.1080/08263663.2023.2271302</v>
      </c>
    </row>
    <row r="1300" spans="1:16" ht="15.75" customHeight="1">
      <c r="A1300" s="1" t="s">
        <v>10</v>
      </c>
      <c r="B1300" s="1" t="s">
        <v>758</v>
      </c>
      <c r="C1300" s="1" t="s">
        <v>759</v>
      </c>
      <c r="D1300" s="1" t="s">
        <v>760</v>
      </c>
      <c r="E1300" s="1" t="s">
        <v>761</v>
      </c>
      <c r="F1300" s="1" t="s">
        <v>762</v>
      </c>
      <c r="H1300" s="1">
        <v>0</v>
      </c>
      <c r="I1300" s="1">
        <v>2024</v>
      </c>
      <c r="O1300" s="1" t="s">
        <v>763</v>
      </c>
    </row>
    <row r="1301" spans="1:16" ht="15.75" customHeight="1">
      <c r="A1301" s="1" t="s">
        <v>0</v>
      </c>
      <c r="B1301" s="1" t="s">
        <v>4513</v>
      </c>
      <c r="C1301" s="1" t="s">
        <v>4514</v>
      </c>
      <c r="D1301" s="1" t="s">
        <v>2300</v>
      </c>
      <c r="E1301" s="1" t="s">
        <v>4515</v>
      </c>
      <c r="F1301" s="1" t="s">
        <v>4516</v>
      </c>
      <c r="G1301" s="1">
        <v>41</v>
      </c>
      <c r="H1301" s="1">
        <v>0</v>
      </c>
      <c r="I1301" s="1">
        <v>2024</v>
      </c>
      <c r="J1301" s="1">
        <v>6</v>
      </c>
      <c r="K1301" s="1" t="s">
        <v>6</v>
      </c>
      <c r="L1301" s="1" t="s">
        <v>6</v>
      </c>
      <c r="M1301" s="1" t="s">
        <v>6</v>
      </c>
      <c r="N1301" s="1">
        <v>1270601</v>
      </c>
      <c r="O1301" s="1" t="s">
        <v>4517</v>
      </c>
      <c r="P1301" s="3" t="str">
        <f>HYPERLINK("http://dx.doi.org/10.3389/fhumd.2024.1270601","http://dx.doi.org/10.3389/fhumd.2024.1270601")</f>
        <v>http://dx.doi.org/10.3389/fhumd.2024.1270601</v>
      </c>
    </row>
    <row r="1302" spans="1:16" ht="15.75" customHeight="1">
      <c r="A1302" s="1" t="s">
        <v>0</v>
      </c>
      <c r="B1302" s="1" t="s">
        <v>1</v>
      </c>
      <c r="C1302" s="1" t="s">
        <v>2</v>
      </c>
      <c r="D1302" s="1" t="s">
        <v>3</v>
      </c>
      <c r="E1302" s="1" t="s">
        <v>4</v>
      </c>
      <c r="F1302" s="1" t="s">
        <v>5</v>
      </c>
      <c r="G1302" s="1">
        <v>71</v>
      </c>
      <c r="H1302" s="1">
        <v>0</v>
      </c>
      <c r="I1302" s="1">
        <v>2024</v>
      </c>
      <c r="J1302" s="1" t="s">
        <v>6</v>
      </c>
      <c r="K1302" s="1" t="s">
        <v>6</v>
      </c>
      <c r="L1302" s="1" t="s">
        <v>6</v>
      </c>
      <c r="M1302" s="1" t="s">
        <v>6</v>
      </c>
      <c r="N1302" s="1" t="s">
        <v>6</v>
      </c>
      <c r="O1302" s="1" t="s">
        <v>7</v>
      </c>
      <c r="P1302" s="3" t="str">
        <f>HYPERLINK("http://dx.doi.org/10.1007/s11013-024-09858-4","http://dx.doi.org/10.1007/s11013-024-09858-4")</f>
        <v>http://dx.doi.org/10.1007/s11013-024-09858-4</v>
      </c>
    </row>
    <row r="1303" spans="1:16" ht="15.75" customHeight="1">
      <c r="A1303" s="1" t="s">
        <v>10</v>
      </c>
      <c r="B1303" s="1" t="s">
        <v>3022</v>
      </c>
      <c r="C1303" s="1" t="s">
        <v>3023</v>
      </c>
      <c r="D1303" s="1" t="s">
        <v>2317</v>
      </c>
      <c r="E1303" s="1" t="s">
        <v>3024</v>
      </c>
      <c r="F1303" s="1" t="s">
        <v>3025</v>
      </c>
      <c r="H1303" s="1">
        <v>0</v>
      </c>
      <c r="I1303" s="1">
        <v>2024</v>
      </c>
      <c r="O1303" s="1" t="s">
        <v>3026</v>
      </c>
    </row>
    <row r="1304" spans="1:16" ht="15.75" customHeight="1">
      <c r="A1304" s="1" t="s">
        <v>0</v>
      </c>
      <c r="B1304" s="1" t="s">
        <v>4445</v>
      </c>
      <c r="C1304" s="1" t="s">
        <v>4446</v>
      </c>
      <c r="D1304" s="1" t="s">
        <v>4447</v>
      </c>
      <c r="E1304" s="1" t="s">
        <v>4448</v>
      </c>
      <c r="F1304" s="1" t="s">
        <v>4449</v>
      </c>
      <c r="G1304" s="1">
        <v>38</v>
      </c>
      <c r="H1304" s="1">
        <v>0</v>
      </c>
      <c r="I1304" s="1">
        <v>2024</v>
      </c>
      <c r="J1304" s="1">
        <v>10</v>
      </c>
      <c r="K1304" s="1">
        <v>2</v>
      </c>
      <c r="L1304" s="1">
        <v>236</v>
      </c>
      <c r="M1304" s="1">
        <v>254</v>
      </c>
      <c r="N1304" s="1" t="s">
        <v>6</v>
      </c>
      <c r="O1304" s="1" t="s">
        <v>4450</v>
      </c>
      <c r="P1304" s="3" t="str">
        <f>HYPERLINK("http://dx.doi.org/10.1075/ttmc.00135.mor","http://dx.doi.org/10.1075/ttmc.00135.mor")</f>
        <v>http://dx.doi.org/10.1075/ttmc.00135.mor</v>
      </c>
    </row>
    <row r="1305" spans="1:16" ht="15.75" customHeight="1">
      <c r="A1305" s="1" t="s">
        <v>0</v>
      </c>
      <c r="B1305" s="1" t="s">
        <v>1921</v>
      </c>
      <c r="C1305" s="1" t="s">
        <v>1922</v>
      </c>
      <c r="D1305" s="1" t="s">
        <v>808</v>
      </c>
      <c r="E1305" s="1" t="s">
        <v>1923</v>
      </c>
      <c r="F1305" s="1" t="s">
        <v>1924</v>
      </c>
      <c r="G1305" s="1">
        <v>51</v>
      </c>
      <c r="H1305" s="1">
        <v>0</v>
      </c>
      <c r="I1305" s="1">
        <v>2024</v>
      </c>
      <c r="J1305" s="1">
        <v>19</v>
      </c>
      <c r="K1305" s="1">
        <v>2</v>
      </c>
      <c r="L1305" s="1">
        <v>158</v>
      </c>
      <c r="M1305" s="1">
        <v>177</v>
      </c>
      <c r="N1305" s="1" t="s">
        <v>6</v>
      </c>
      <c r="O1305" s="1" t="s">
        <v>1925</v>
      </c>
      <c r="P1305" s="3" t="str">
        <f>HYPERLINK("http://dx.doi.org/10.1080/17442222.2023.2222060","http://dx.doi.org/10.1080/17442222.2023.2222060")</f>
        <v>http://dx.doi.org/10.1080/17442222.2023.2222060</v>
      </c>
    </row>
    <row r="1306" spans="1:16" ht="15.75" customHeight="1">
      <c r="A1306" s="1" t="s">
        <v>10</v>
      </c>
      <c r="B1306" s="1" t="s">
        <v>3080</v>
      </c>
      <c r="C1306" s="1" t="s">
        <v>3081</v>
      </c>
      <c r="D1306" s="1" t="s">
        <v>473</v>
      </c>
      <c r="E1306" s="1" t="s">
        <v>3082</v>
      </c>
      <c r="F1306" s="1" t="s">
        <v>3083</v>
      </c>
      <c r="H1306" s="1">
        <v>0</v>
      </c>
      <c r="I1306" s="1">
        <v>2024</v>
      </c>
      <c r="J1306" s="1">
        <v>50</v>
      </c>
      <c r="K1306" s="1">
        <v>149</v>
      </c>
      <c r="O1306" s="1" t="s">
        <v>3084</v>
      </c>
    </row>
    <row r="1307" spans="1:16" ht="15.75" customHeight="1">
      <c r="A1307" s="1" t="s">
        <v>0</v>
      </c>
      <c r="B1307" s="1" t="s">
        <v>2589</v>
      </c>
      <c r="C1307" s="1" t="s">
        <v>2590</v>
      </c>
      <c r="D1307" s="1" t="s">
        <v>264</v>
      </c>
      <c r="E1307" s="1" t="s">
        <v>2591</v>
      </c>
      <c r="F1307" s="1" t="s">
        <v>2592</v>
      </c>
      <c r="G1307" s="1">
        <v>63</v>
      </c>
      <c r="H1307" s="1">
        <v>0</v>
      </c>
      <c r="I1307" s="1">
        <v>2024</v>
      </c>
      <c r="J1307" s="1" t="s">
        <v>6</v>
      </c>
      <c r="K1307" s="1" t="s">
        <v>6</v>
      </c>
      <c r="L1307" s="1" t="s">
        <v>6</v>
      </c>
      <c r="M1307" s="1" t="s">
        <v>6</v>
      </c>
      <c r="N1307" s="1" t="s">
        <v>6</v>
      </c>
      <c r="O1307" s="1" t="s">
        <v>2593</v>
      </c>
      <c r="P1307" s="3" t="str">
        <f>HYPERLINK("http://dx.doi.org/10.1080/1369183X.2024.2305270","http://dx.doi.org/10.1080/1369183X.2024.2305270")</f>
        <v>http://dx.doi.org/10.1080/1369183X.2024.2305270</v>
      </c>
    </row>
    <row r="1308" spans="1:16" ht="15.75" customHeight="1">
      <c r="A1308" s="1" t="s">
        <v>0</v>
      </c>
      <c r="B1308" s="1" t="s">
        <v>2120</v>
      </c>
      <c r="C1308" s="1" t="s">
        <v>2121</v>
      </c>
      <c r="D1308" s="1" t="s">
        <v>2122</v>
      </c>
      <c r="E1308" s="1" t="s">
        <v>2123</v>
      </c>
      <c r="F1308" s="1" t="s">
        <v>2124</v>
      </c>
      <c r="G1308" s="1">
        <v>70</v>
      </c>
      <c r="H1308" s="1">
        <v>0</v>
      </c>
      <c r="I1308" s="1">
        <v>2024</v>
      </c>
      <c r="J1308" s="1">
        <v>21</v>
      </c>
      <c r="K1308" s="1">
        <v>4</v>
      </c>
      <c r="L1308" s="1">
        <v>590</v>
      </c>
      <c r="M1308" s="1">
        <v>611</v>
      </c>
      <c r="N1308" s="1" t="s">
        <v>6</v>
      </c>
      <c r="O1308" s="1" t="s">
        <v>2125</v>
      </c>
      <c r="P1308" s="3" t="str">
        <f>HYPERLINK("http://dx.doi.org/10.1080/14747731.2023.2236886","http://dx.doi.org/10.1080/14747731.2023.2236886")</f>
        <v>http://dx.doi.org/10.1080/14747731.2023.2236886</v>
      </c>
    </row>
    <row r="1309" spans="1:16" ht="15.75" customHeight="1">
      <c r="A1309" s="1"/>
      <c r="B1309" s="1"/>
      <c r="C1309" s="1"/>
      <c r="D1309" s="1"/>
      <c r="E1309" s="1"/>
      <c r="F1309" s="1"/>
      <c r="H1309" s="1"/>
      <c r="I1309" s="1"/>
      <c r="J1309" s="1"/>
      <c r="O1309" s="1"/>
    </row>
    <row r="1310" spans="1:16" ht="15.75" customHeight="1">
      <c r="A1310" s="1"/>
      <c r="B1310" s="1"/>
      <c r="C1310" s="1"/>
      <c r="D1310" s="1"/>
      <c r="E1310" s="1"/>
      <c r="F1310" s="1"/>
      <c r="H1310" s="1"/>
      <c r="I1310" s="1"/>
      <c r="J1310" s="1"/>
      <c r="K1310" s="1"/>
      <c r="O1310" s="1"/>
    </row>
    <row r="1311" spans="1:16" ht="15.75" customHeight="1">
      <c r="A1311" s="1"/>
      <c r="B1311" s="1"/>
      <c r="C1311" s="1"/>
      <c r="D1311" s="1"/>
      <c r="E1311" s="1"/>
      <c r="F1311" s="1"/>
      <c r="H1311" s="1"/>
      <c r="I1311" s="1"/>
      <c r="K1311" s="1"/>
    </row>
    <row r="1312" spans="1:16" ht="15.75" customHeight="1">
      <c r="A1312" s="1"/>
      <c r="B1312" s="1"/>
      <c r="C1312" s="1"/>
      <c r="D1312" s="1"/>
      <c r="E1312" s="1"/>
      <c r="F1312" s="1"/>
      <c r="H1312" s="1"/>
      <c r="I1312" s="1"/>
      <c r="K1312" s="1"/>
      <c r="O1312" s="1"/>
    </row>
    <row r="1313" spans="1:16" ht="15.75" customHeight="1">
      <c r="A1313" s="1"/>
      <c r="B1313" s="1"/>
      <c r="C1313" s="1"/>
      <c r="D1313" s="1"/>
      <c r="E1313" s="1"/>
      <c r="F1313" s="1"/>
      <c r="H1313" s="1"/>
      <c r="I1313" s="1"/>
      <c r="J1313" s="1"/>
      <c r="K1313" s="1"/>
      <c r="O1313" s="1"/>
    </row>
    <row r="1314" spans="1:16" ht="15.75" customHeight="1">
      <c r="A1314" s="1"/>
      <c r="B1314" s="1"/>
      <c r="C1314" s="1"/>
      <c r="D1314" s="1"/>
      <c r="E1314" s="1"/>
      <c r="F1314" s="1"/>
      <c r="H1314" s="1"/>
      <c r="I1314" s="1"/>
      <c r="J1314" s="1"/>
      <c r="O1314" s="1"/>
    </row>
    <row r="1315" spans="1:16" ht="15.75" customHeight="1">
      <c r="A1315" s="1"/>
      <c r="B1315" s="1"/>
      <c r="C1315" s="1"/>
      <c r="D1315" s="1"/>
      <c r="E1315" s="1"/>
      <c r="F1315" s="1"/>
      <c r="H1315" s="1"/>
      <c r="I1315" s="1"/>
      <c r="J1315" s="1"/>
      <c r="O1315" s="1"/>
    </row>
    <row r="1316" spans="1:16" ht="15.75" customHeight="1">
      <c r="A1316" s="1"/>
      <c r="B1316" s="1"/>
      <c r="C1316" s="1"/>
      <c r="D1316" s="1"/>
      <c r="E1316" s="1"/>
      <c r="F1316" s="1"/>
      <c r="H1316" s="1"/>
      <c r="I1316" s="1"/>
      <c r="J1316" s="1"/>
      <c r="O1316" s="1"/>
    </row>
    <row r="1317" spans="1:16" ht="15.75" customHeight="1">
      <c r="A1317" s="1"/>
      <c r="B1317" s="1"/>
      <c r="C1317" s="1"/>
      <c r="D1317" s="1"/>
      <c r="F1317" s="1"/>
      <c r="H1317" s="1"/>
      <c r="I1317" s="1"/>
      <c r="J1317" s="1"/>
      <c r="K1317" s="1"/>
      <c r="O1317" s="1"/>
    </row>
    <row r="1318" spans="1:16" ht="15.75" customHeight="1">
      <c r="A1318" s="1"/>
      <c r="B1318" s="1"/>
      <c r="C1318" s="1"/>
      <c r="D1318" s="1"/>
      <c r="E1318" s="1"/>
      <c r="F1318" s="1"/>
      <c r="G1318" s="1"/>
      <c r="H1318" s="1"/>
      <c r="I1318" s="1"/>
      <c r="J1318" s="1"/>
      <c r="K1318" s="1"/>
      <c r="L1318" s="1"/>
      <c r="M1318" s="1"/>
      <c r="N1318" s="1"/>
      <c r="O1318" s="1"/>
      <c r="P1318" s="5"/>
    </row>
    <row r="1319" spans="1:16" ht="15.75" customHeight="1">
      <c r="A1319" s="1"/>
      <c r="B1319" s="1"/>
      <c r="C1319" s="1"/>
      <c r="D1319" s="1"/>
      <c r="E1319" s="1"/>
      <c r="F1319" s="1"/>
      <c r="G1319" s="1"/>
      <c r="H1319" s="1"/>
      <c r="I1319" s="1"/>
      <c r="J1319" s="1"/>
      <c r="K1319" s="1"/>
      <c r="L1319" s="1"/>
      <c r="M1319" s="1"/>
      <c r="N1319" s="1"/>
      <c r="O1319" s="1"/>
      <c r="P1319" s="5"/>
    </row>
    <row r="1320" spans="1:16" ht="15.75" customHeight="1">
      <c r="A1320" s="1"/>
      <c r="B1320" s="1"/>
      <c r="C1320" s="1"/>
      <c r="D1320" s="1"/>
      <c r="E1320" s="1"/>
      <c r="F1320" s="1"/>
      <c r="H1320" s="1"/>
      <c r="I1320" s="1"/>
      <c r="J1320" s="1"/>
      <c r="O1320" s="1"/>
    </row>
    <row r="1321" spans="1:16" ht="15.75" customHeight="1">
      <c r="A1321" s="1"/>
      <c r="B1321" s="1"/>
      <c r="C1321" s="1"/>
      <c r="D1321" s="1"/>
      <c r="E1321" s="1"/>
      <c r="F1321" s="1"/>
      <c r="H1321" s="1"/>
      <c r="I1321" s="1"/>
      <c r="J1321" s="1"/>
      <c r="K1321" s="1"/>
      <c r="O1321" s="1"/>
    </row>
    <row r="1322" spans="1:16" ht="15.75" customHeight="1">
      <c r="A1322" s="1"/>
      <c r="B1322" s="1"/>
      <c r="C1322" s="1"/>
      <c r="D1322" s="1"/>
      <c r="E1322" s="1"/>
      <c r="F1322" s="1"/>
      <c r="H1322" s="1"/>
      <c r="I1322" s="1"/>
      <c r="J1322" s="1"/>
      <c r="K1322" s="1"/>
      <c r="O1322" s="1"/>
    </row>
    <row r="1323" spans="1:16" ht="15.75" customHeight="1">
      <c r="A1323" s="1"/>
      <c r="B1323" s="1"/>
      <c r="C1323" s="1"/>
      <c r="D1323" s="1"/>
      <c r="E1323" s="1"/>
      <c r="F1323" s="1"/>
      <c r="G1323" s="1"/>
      <c r="H1323" s="1"/>
      <c r="I1323" s="1"/>
      <c r="J1323" s="1"/>
      <c r="K1323" s="1"/>
      <c r="L1323" s="1"/>
      <c r="M1323" s="1"/>
      <c r="N1323" s="1"/>
      <c r="O1323" s="1"/>
      <c r="P1323" s="5"/>
    </row>
    <row r="1324" spans="1:16" ht="15.75" customHeight="1">
      <c r="A1324" s="1"/>
      <c r="B1324" s="1"/>
      <c r="C1324" s="1"/>
      <c r="D1324" s="1"/>
      <c r="E1324" s="1"/>
      <c r="F1324" s="1"/>
      <c r="G1324" s="1"/>
      <c r="H1324" s="1"/>
      <c r="I1324" s="1"/>
      <c r="J1324" s="1"/>
      <c r="K1324" s="1"/>
      <c r="L1324" s="1"/>
      <c r="M1324" s="1"/>
      <c r="N1324" s="1"/>
      <c r="O1324" s="1"/>
      <c r="P1324" s="5"/>
    </row>
    <row r="1325" spans="1:16" ht="15.75" customHeight="1">
      <c r="A1325" s="1"/>
      <c r="B1325" s="1"/>
      <c r="C1325" s="1"/>
      <c r="D1325" s="1"/>
      <c r="E1325" s="1"/>
      <c r="F1325" s="1"/>
      <c r="H1325" s="1"/>
      <c r="I1325" s="1"/>
      <c r="J1325" s="1"/>
      <c r="K1325" s="1"/>
      <c r="O1325" s="1"/>
    </row>
    <row r="1326" spans="1:16" ht="15.75" customHeight="1">
      <c r="A1326" s="1"/>
      <c r="B1326" s="1"/>
      <c r="C1326" s="1"/>
      <c r="D1326" s="1"/>
      <c r="E1326" s="1"/>
      <c r="F1326" s="1"/>
      <c r="H1326" s="1"/>
      <c r="I1326" s="1"/>
      <c r="K1326" s="1"/>
      <c r="O1326" s="1"/>
    </row>
    <row r="1327" spans="1:16" ht="15.75" customHeight="1">
      <c r="A1327" s="1"/>
      <c r="B1327" s="1"/>
      <c r="C1327" s="1"/>
      <c r="D1327" s="1"/>
      <c r="E1327" s="1"/>
      <c r="F1327" s="1"/>
      <c r="H1327" s="1"/>
      <c r="I1327" s="1"/>
      <c r="J1327" s="1"/>
      <c r="O1327" s="1"/>
    </row>
    <row r="1328" spans="1:16" ht="15.75" customHeight="1">
      <c r="A1328" s="1"/>
      <c r="B1328" s="1"/>
      <c r="C1328" s="1"/>
      <c r="D1328" s="1"/>
      <c r="E1328" s="1"/>
      <c r="F1328" s="1"/>
      <c r="H1328" s="1"/>
      <c r="I1328" s="1"/>
      <c r="J1328" s="1"/>
      <c r="K1328" s="1"/>
      <c r="O1328" s="1"/>
    </row>
    <row r="1329" spans="1:16" ht="15.75" customHeight="1">
      <c r="A1329" s="1"/>
      <c r="B1329" s="1"/>
      <c r="C1329" s="1"/>
      <c r="D1329" s="1"/>
      <c r="E1329" s="1"/>
      <c r="F1329" s="1"/>
      <c r="H1329" s="1"/>
      <c r="I1329" s="1"/>
      <c r="J1329" s="1"/>
      <c r="K1329" s="1"/>
      <c r="O1329" s="1"/>
    </row>
    <row r="1330" spans="1:16" ht="15.75" customHeight="1">
      <c r="A1330" s="1"/>
      <c r="B1330" s="1"/>
      <c r="C1330" s="1"/>
      <c r="D1330" s="1"/>
      <c r="E1330" s="1"/>
      <c r="F1330" s="1"/>
      <c r="G1330" s="1"/>
      <c r="H1330" s="1"/>
      <c r="I1330" s="1"/>
      <c r="J1330" s="1"/>
      <c r="K1330" s="1"/>
      <c r="L1330" s="1"/>
      <c r="M1330" s="1"/>
      <c r="N1330" s="1"/>
      <c r="O1330" s="1"/>
      <c r="P1330" s="1"/>
    </row>
    <row r="1331" spans="1:16" ht="15.75" customHeight="1">
      <c r="A1331" s="1"/>
      <c r="B1331" s="1"/>
      <c r="C1331" s="1"/>
      <c r="D1331" s="1"/>
      <c r="E1331" s="1"/>
      <c r="F1331" s="1"/>
      <c r="G1331" s="1"/>
      <c r="H1331" s="1"/>
      <c r="I1331" s="1"/>
      <c r="J1331" s="1"/>
      <c r="K1331" s="1"/>
      <c r="L1331" s="1"/>
      <c r="M1331" s="1"/>
      <c r="N1331" s="1"/>
      <c r="O1331" s="1"/>
      <c r="P1331" s="1"/>
    </row>
    <row r="1332" spans="1:16" ht="15.75" customHeight="1">
      <c r="A1332" s="1"/>
      <c r="B1332" s="1"/>
      <c r="C1332" s="1"/>
      <c r="D1332" s="1"/>
      <c r="E1332" s="1"/>
      <c r="F1332" s="1"/>
      <c r="G1332" s="1"/>
      <c r="H1332" s="1"/>
      <c r="I1332" s="1"/>
      <c r="J1332" s="1"/>
      <c r="K1332" s="1"/>
      <c r="L1332" s="1"/>
      <c r="M1332" s="1"/>
      <c r="N1332" s="1"/>
      <c r="O1332" s="1"/>
      <c r="P1332" s="5"/>
    </row>
    <row r="1333" spans="1:16" ht="15.75" customHeight="1">
      <c r="A1333" s="1"/>
      <c r="B1333" s="1"/>
      <c r="C1333" s="1"/>
      <c r="D1333" s="1"/>
      <c r="E1333" s="1"/>
      <c r="F1333" s="1"/>
      <c r="H1333" s="1"/>
      <c r="I1333" s="1"/>
      <c r="J1333" s="1"/>
      <c r="K1333" s="1"/>
      <c r="O1333" s="1"/>
    </row>
    <row r="1334" spans="1:16" ht="15.75" customHeight="1">
      <c r="A1334" s="1"/>
      <c r="B1334" s="1"/>
      <c r="C1334" s="1"/>
      <c r="D1334" s="1"/>
      <c r="E1334" s="1"/>
      <c r="F1334" s="1"/>
      <c r="H1334" s="1"/>
      <c r="I1334" s="1"/>
      <c r="J1334" s="1"/>
      <c r="K1334" s="1"/>
      <c r="O1334" s="1"/>
    </row>
    <row r="1335" spans="1:16" ht="15.75" customHeight="1">
      <c r="A1335" s="1"/>
      <c r="B1335" s="1"/>
      <c r="C1335" s="1"/>
      <c r="D1335" s="1"/>
      <c r="E1335" s="1"/>
      <c r="F1335" s="1"/>
      <c r="H1335" s="1"/>
      <c r="I1335" s="1"/>
      <c r="J1335" s="1"/>
      <c r="K1335" s="1"/>
      <c r="O1335" s="1"/>
    </row>
    <row r="1336" spans="1:16" ht="15.75" customHeight="1">
      <c r="A1336" s="1"/>
      <c r="B1336" s="1"/>
      <c r="C1336" s="1"/>
      <c r="D1336" s="1"/>
      <c r="E1336" s="1"/>
      <c r="F1336" s="1"/>
      <c r="H1336" s="1"/>
      <c r="I1336" s="1"/>
      <c r="K1336" s="1"/>
    </row>
    <row r="1337" spans="1:16" ht="15.75" customHeight="1">
      <c r="A1337" s="1"/>
      <c r="B1337" s="1"/>
      <c r="C1337" s="1"/>
      <c r="D1337" s="1"/>
      <c r="E1337" s="1"/>
      <c r="F1337" s="1"/>
      <c r="G1337" s="1"/>
      <c r="H1337" s="1"/>
      <c r="I1337" s="1"/>
      <c r="K1337" s="1"/>
    </row>
    <row r="1338" spans="1:16" ht="15.75" customHeight="1">
      <c r="A1338" s="1"/>
      <c r="B1338" s="1"/>
      <c r="C1338" s="1"/>
      <c r="D1338" s="1"/>
      <c r="E1338" s="1"/>
      <c r="F1338" s="1"/>
      <c r="G1338" s="1"/>
      <c r="H1338" s="1"/>
      <c r="I1338" s="1"/>
      <c r="J1338" s="1"/>
      <c r="K1338" s="1"/>
      <c r="L1338" s="1"/>
      <c r="M1338" s="1"/>
      <c r="N1338" s="1"/>
      <c r="O1338" s="1"/>
      <c r="P1338" s="1"/>
    </row>
    <row r="1339" spans="1:16" ht="15.75" customHeight="1">
      <c r="A1339" s="1"/>
      <c r="B1339" s="1"/>
      <c r="C1339" s="1"/>
      <c r="D1339" s="1"/>
      <c r="E1339" s="1"/>
      <c r="F1339" s="1"/>
      <c r="G1339" s="1"/>
      <c r="H1339" s="1"/>
      <c r="I1339" s="1"/>
      <c r="J1339" s="1"/>
      <c r="K1339" s="1"/>
      <c r="L1339" s="1"/>
      <c r="M1339" s="1"/>
      <c r="N1339" s="1"/>
      <c r="O1339" s="1"/>
      <c r="P1339" s="5"/>
    </row>
    <row r="1340" spans="1:16" ht="15.75" customHeight="1">
      <c r="A1340" s="1"/>
      <c r="B1340" s="1"/>
      <c r="C1340" s="1"/>
      <c r="D1340" s="1"/>
      <c r="E1340" s="1"/>
      <c r="F1340" s="1"/>
      <c r="H1340" s="1"/>
      <c r="I1340" s="1"/>
      <c r="J1340" s="1"/>
      <c r="K1340" s="1"/>
      <c r="O1340" s="1"/>
    </row>
    <row r="1341" spans="1:16" ht="15.75" customHeight="1">
      <c r="A1341" s="1"/>
      <c r="B1341" s="1"/>
      <c r="C1341" s="1"/>
      <c r="D1341" s="1"/>
      <c r="E1341" s="1"/>
      <c r="F1341" s="1"/>
      <c r="H1341" s="1"/>
      <c r="I1341" s="1"/>
      <c r="J1341" s="1"/>
      <c r="K1341" s="1"/>
      <c r="O1341" s="1"/>
    </row>
    <row r="1342" spans="1:16" ht="15.75" customHeight="1">
      <c r="A1342" s="1"/>
      <c r="B1342" s="1"/>
      <c r="C1342" s="1"/>
      <c r="D1342" s="1"/>
      <c r="E1342" s="1"/>
      <c r="F1342" s="1"/>
      <c r="G1342" s="1"/>
      <c r="H1342" s="1"/>
      <c r="I1342" s="1"/>
      <c r="J1342" s="1"/>
      <c r="K1342" s="1"/>
      <c r="L1342" s="1"/>
      <c r="M1342" s="1"/>
      <c r="N1342" s="1"/>
      <c r="O1342" s="1"/>
      <c r="P1342" s="5"/>
    </row>
    <row r="1343" spans="1:16" ht="15.75" customHeight="1">
      <c r="A1343" s="1"/>
      <c r="B1343" s="1"/>
      <c r="C1343" s="1"/>
      <c r="D1343" s="1"/>
      <c r="E1343" s="1"/>
      <c r="F1343" s="1"/>
      <c r="H1343" s="1"/>
      <c r="I1343" s="1"/>
      <c r="J1343" s="1"/>
      <c r="K1343" s="1"/>
    </row>
    <row r="1344" spans="1:16" ht="15.75" customHeight="1">
      <c r="A1344" s="1"/>
      <c r="B1344" s="1"/>
      <c r="C1344" s="1"/>
      <c r="D1344" s="1"/>
      <c r="E1344" s="1"/>
      <c r="F1344" s="1"/>
      <c r="G1344" s="1"/>
      <c r="H1344" s="1"/>
      <c r="I1344" s="1"/>
      <c r="J1344" s="1"/>
      <c r="K1344" s="1"/>
      <c r="L1344" s="1"/>
      <c r="M1344" s="1"/>
      <c r="N1344" s="1"/>
      <c r="O1344" s="1"/>
      <c r="P1344" s="1"/>
    </row>
    <row r="1345" spans="1:16" ht="15.75" customHeight="1">
      <c r="A1345" s="1"/>
      <c r="B1345" s="1"/>
      <c r="C1345" s="1"/>
      <c r="D1345" s="1"/>
      <c r="E1345" s="1"/>
      <c r="F1345" s="1"/>
      <c r="H1345" s="1"/>
      <c r="I1345" s="1"/>
      <c r="J1345" s="1"/>
      <c r="K1345" s="1"/>
      <c r="O1345" s="1"/>
    </row>
    <row r="1346" spans="1:16" ht="15.75" customHeight="1">
      <c r="A1346" s="1"/>
      <c r="B1346" s="1"/>
      <c r="C1346" s="1"/>
      <c r="D1346" s="1"/>
      <c r="E1346" s="1"/>
      <c r="F1346" s="1"/>
      <c r="G1346" s="1"/>
      <c r="H1346" s="1"/>
      <c r="I1346" s="1"/>
      <c r="J1346" s="1"/>
      <c r="K1346" s="1"/>
      <c r="L1346" s="1"/>
      <c r="M1346" s="1"/>
      <c r="N1346" s="1"/>
      <c r="O1346" s="1"/>
      <c r="P1346" s="5"/>
    </row>
    <row r="1347" spans="1:16" ht="15.75" customHeight="1">
      <c r="A1347" s="1"/>
      <c r="B1347" s="1"/>
      <c r="C1347" s="1"/>
      <c r="D1347" s="1"/>
      <c r="E1347" s="1"/>
      <c r="F1347" s="1"/>
      <c r="G1347" s="1"/>
      <c r="H1347" s="1"/>
      <c r="I1347" s="1"/>
      <c r="J1347" s="1"/>
      <c r="K1347" s="1"/>
      <c r="L1347" s="1"/>
      <c r="M1347" s="1"/>
      <c r="N1347" s="1"/>
      <c r="O1347" s="1"/>
      <c r="P1347" s="5"/>
    </row>
    <row r="1348" spans="1:16" ht="15.75" customHeight="1">
      <c r="A1348" s="1"/>
      <c r="B1348" s="1"/>
      <c r="C1348" s="1"/>
      <c r="D1348" s="1"/>
      <c r="E1348" s="1"/>
      <c r="F1348" s="1"/>
      <c r="G1348" s="1"/>
      <c r="H1348" s="1"/>
      <c r="I1348" s="1"/>
      <c r="J1348" s="1"/>
      <c r="K1348" s="1"/>
      <c r="L1348" s="1"/>
      <c r="M1348" s="1"/>
      <c r="N1348" s="1"/>
      <c r="O1348" s="1"/>
      <c r="P1348" s="5"/>
    </row>
    <row r="1349" spans="1:16" ht="15.75" customHeight="1">
      <c r="A1349" s="1"/>
      <c r="B1349" s="1"/>
      <c r="C1349" s="1"/>
      <c r="D1349" s="1"/>
      <c r="E1349" s="1"/>
      <c r="F1349" s="1"/>
      <c r="G1349" s="1"/>
      <c r="H1349" s="1"/>
      <c r="I1349" s="1"/>
      <c r="J1349" s="1"/>
      <c r="K1349" s="1"/>
      <c r="L1349" s="1"/>
      <c r="M1349" s="1"/>
      <c r="N1349" s="1"/>
      <c r="O1349" s="1"/>
      <c r="P1349" s="5"/>
    </row>
    <row r="1350" spans="1:16" ht="15.75" customHeight="1">
      <c r="A1350" s="1"/>
      <c r="B1350" s="1"/>
      <c r="C1350" s="1"/>
      <c r="D1350" s="1"/>
      <c r="E1350" s="1"/>
      <c r="F1350" s="1"/>
      <c r="G1350" s="1"/>
      <c r="H1350" s="1"/>
      <c r="I1350" s="1"/>
      <c r="J1350" s="1"/>
      <c r="K1350" s="1"/>
      <c r="L1350" s="1"/>
      <c r="M1350" s="1"/>
      <c r="N1350" s="1"/>
      <c r="O1350" s="1"/>
      <c r="P1350" s="5"/>
    </row>
    <row r="1351" spans="1:16" ht="15.75" customHeight="1">
      <c r="A1351" s="1"/>
      <c r="B1351" s="1"/>
      <c r="C1351" s="1"/>
      <c r="D1351" s="1"/>
      <c r="F1351" s="1"/>
      <c r="H1351" s="1"/>
      <c r="I1351" s="1"/>
      <c r="J1351" s="1"/>
      <c r="K1351" s="1"/>
      <c r="O1351" s="1"/>
    </row>
    <row r="1352" spans="1:16" ht="15.75" customHeight="1">
      <c r="A1352" s="1"/>
      <c r="B1352" s="1"/>
      <c r="C1352" s="1"/>
      <c r="D1352" s="1"/>
      <c r="E1352" s="1"/>
      <c r="F1352" s="1"/>
      <c r="H1352" s="1"/>
      <c r="I1352" s="1"/>
      <c r="J1352" s="1"/>
      <c r="K1352" s="1"/>
      <c r="O1352" s="1"/>
    </row>
    <row r="1353" spans="1:16" ht="15.75" customHeight="1">
      <c r="A1353" s="1"/>
      <c r="B1353" s="1"/>
      <c r="C1353" s="1"/>
      <c r="D1353" s="1"/>
      <c r="E1353" s="1"/>
      <c r="F1353" s="1"/>
      <c r="H1353" s="1"/>
      <c r="I1353" s="1"/>
      <c r="J1353" s="1"/>
      <c r="K1353" s="1"/>
      <c r="O1353" s="1"/>
    </row>
    <row r="1354" spans="1:16" ht="15.75" customHeight="1">
      <c r="A1354" s="1"/>
      <c r="B1354" s="1"/>
      <c r="C1354" s="1"/>
      <c r="D1354" s="1"/>
      <c r="E1354" s="1"/>
      <c r="F1354" s="1"/>
      <c r="H1354" s="1"/>
      <c r="I1354" s="1"/>
      <c r="J1354" s="1"/>
      <c r="K1354" s="1"/>
      <c r="O1354" s="1"/>
    </row>
    <row r="1355" spans="1:16" ht="15.75" customHeight="1">
      <c r="A1355" s="1"/>
      <c r="B1355" s="1"/>
      <c r="C1355" s="1"/>
      <c r="D1355" s="1"/>
      <c r="E1355" s="1"/>
      <c r="F1355" s="1"/>
      <c r="H1355" s="1"/>
      <c r="I1355" s="1"/>
      <c r="J1355" s="1"/>
      <c r="K1355" s="1"/>
      <c r="O1355" s="1"/>
    </row>
    <row r="1356" spans="1:16" ht="15.75" customHeight="1">
      <c r="A1356" s="1"/>
      <c r="B1356" s="1"/>
      <c r="C1356" s="1"/>
      <c r="D1356" s="1"/>
      <c r="E1356" s="1"/>
      <c r="F1356" s="1"/>
      <c r="H1356" s="1"/>
      <c r="I1356" s="1"/>
      <c r="J1356" s="1"/>
      <c r="K1356" s="1"/>
      <c r="O1356" s="1"/>
    </row>
    <row r="1357" spans="1:16" ht="15.75" customHeight="1">
      <c r="A1357" s="1"/>
      <c r="B1357" s="1"/>
      <c r="C1357" s="1"/>
      <c r="D1357" s="1"/>
      <c r="E1357" s="1"/>
      <c r="F1357" s="1"/>
      <c r="H1357" s="1"/>
      <c r="I1357" s="1"/>
      <c r="J1357" s="1"/>
      <c r="K1357" s="1"/>
      <c r="O1357" s="1"/>
    </row>
    <row r="1358" spans="1:16" ht="15.75" customHeight="1">
      <c r="A1358" s="1"/>
      <c r="B1358" s="1"/>
      <c r="C1358" s="1"/>
      <c r="D1358" s="1"/>
      <c r="E1358" s="1"/>
      <c r="F1358" s="1"/>
      <c r="H1358" s="1"/>
      <c r="I1358" s="1"/>
      <c r="J1358" s="1"/>
      <c r="K1358" s="1"/>
      <c r="O1358" s="1"/>
    </row>
    <row r="1359" spans="1:16" ht="15.75" customHeight="1">
      <c r="A1359" s="1"/>
      <c r="B1359" s="1"/>
      <c r="C1359" s="1"/>
      <c r="D1359" s="1"/>
      <c r="E1359" s="1"/>
      <c r="F1359" s="1"/>
      <c r="H1359" s="1"/>
      <c r="I1359" s="1"/>
      <c r="J1359" s="1"/>
      <c r="K1359" s="1"/>
      <c r="O1359" s="1"/>
    </row>
    <row r="1360" spans="1:16" ht="15.75" customHeight="1">
      <c r="A1360" s="1"/>
      <c r="B1360" s="1"/>
      <c r="C1360" s="1"/>
      <c r="D1360" s="1"/>
      <c r="E1360" s="1"/>
      <c r="F1360" s="1"/>
      <c r="H1360" s="1"/>
      <c r="I1360" s="1"/>
      <c r="J1360" s="1"/>
      <c r="K1360" s="1"/>
      <c r="O1360" s="1"/>
    </row>
    <row r="1361" spans="1:16" ht="15.75" customHeight="1">
      <c r="A1361" s="1"/>
      <c r="B1361" s="1"/>
      <c r="C1361" s="1"/>
      <c r="D1361" s="1"/>
      <c r="E1361" s="1"/>
      <c r="F1361" s="1"/>
      <c r="H1361" s="1"/>
      <c r="I1361" s="1"/>
      <c r="J1361" s="1"/>
      <c r="K1361" s="1"/>
      <c r="O1361" s="1"/>
    </row>
    <row r="1362" spans="1:16" ht="15.75" customHeight="1">
      <c r="A1362" s="1"/>
      <c r="B1362" s="1"/>
      <c r="C1362" s="1"/>
      <c r="D1362" s="1"/>
      <c r="E1362" s="1"/>
      <c r="F1362" s="1"/>
      <c r="H1362" s="1"/>
      <c r="I1362" s="1"/>
      <c r="J1362" s="1"/>
      <c r="K1362" s="1"/>
      <c r="O1362" s="1"/>
    </row>
    <row r="1363" spans="1:16" ht="15.75" customHeight="1">
      <c r="A1363" s="1"/>
      <c r="B1363" s="1"/>
      <c r="C1363" s="1"/>
      <c r="D1363" s="1"/>
      <c r="E1363" s="1"/>
      <c r="F1363" s="1"/>
      <c r="H1363" s="1"/>
      <c r="I1363" s="1"/>
      <c r="J1363" s="1"/>
      <c r="K1363" s="1"/>
      <c r="O1363" s="1"/>
    </row>
    <row r="1364" spans="1:16" ht="15.75" customHeight="1">
      <c r="A1364" s="1"/>
      <c r="B1364" s="1"/>
      <c r="C1364" s="1"/>
      <c r="D1364" s="1"/>
      <c r="E1364" s="1"/>
      <c r="F1364" s="1"/>
      <c r="H1364" s="1"/>
      <c r="I1364" s="1"/>
      <c r="J1364" s="1"/>
      <c r="K1364" s="1"/>
      <c r="O1364" s="1"/>
    </row>
    <row r="1365" spans="1:16" ht="15.75" customHeight="1">
      <c r="A1365" s="1"/>
      <c r="B1365" s="1"/>
      <c r="C1365" s="1"/>
      <c r="D1365" s="1"/>
      <c r="E1365" s="1"/>
      <c r="F1365" s="1"/>
      <c r="H1365" s="1"/>
      <c r="I1365" s="1"/>
      <c r="J1365" s="1"/>
      <c r="K1365" s="1"/>
      <c r="O1365" s="1"/>
    </row>
    <row r="1366" spans="1:16" ht="15.75" customHeight="1">
      <c r="A1366" s="1"/>
      <c r="B1366" s="1"/>
      <c r="C1366" s="1"/>
      <c r="D1366" s="1"/>
      <c r="E1366" s="1"/>
      <c r="F1366" s="1"/>
      <c r="H1366" s="1"/>
      <c r="I1366" s="1"/>
      <c r="J1366" s="1"/>
      <c r="K1366" s="1"/>
      <c r="O1366" s="1"/>
    </row>
    <row r="1367" spans="1:16" ht="15.75" customHeight="1">
      <c r="A1367" s="1"/>
      <c r="B1367" s="1"/>
      <c r="C1367" s="1"/>
      <c r="D1367" s="1"/>
      <c r="E1367" s="1"/>
      <c r="F1367" s="1"/>
      <c r="H1367" s="1"/>
      <c r="I1367" s="1"/>
      <c r="J1367" s="1"/>
      <c r="K1367" s="1"/>
      <c r="O1367" s="1"/>
    </row>
    <row r="1368" spans="1:16" ht="15.75" customHeight="1">
      <c r="A1368" s="1"/>
      <c r="B1368" s="1"/>
      <c r="C1368" s="1"/>
      <c r="D1368" s="1"/>
      <c r="E1368" s="1"/>
      <c r="F1368" s="1"/>
      <c r="H1368" s="1"/>
      <c r="I1368" s="1"/>
      <c r="J1368" s="1"/>
      <c r="K1368" s="1"/>
    </row>
    <row r="1369" spans="1:16" ht="15.75" customHeight="1">
      <c r="A1369" s="1"/>
      <c r="B1369" s="1"/>
      <c r="C1369" s="1"/>
      <c r="D1369" s="1"/>
      <c r="E1369" s="1"/>
      <c r="F1369" s="1"/>
      <c r="H1369" s="1"/>
      <c r="I1369" s="1"/>
      <c r="J1369" s="1"/>
      <c r="K1369" s="1"/>
      <c r="O1369" s="1"/>
    </row>
    <row r="1370" spans="1:16" ht="15.75" customHeight="1">
      <c r="A1370" s="1"/>
      <c r="B1370" s="1"/>
      <c r="C1370" s="1"/>
      <c r="D1370" s="1"/>
      <c r="E1370" s="1"/>
      <c r="F1370" s="1"/>
      <c r="G1370" s="1"/>
      <c r="H1370" s="1"/>
      <c r="I1370" s="1"/>
      <c r="J1370" s="1"/>
      <c r="K1370" s="1"/>
      <c r="O1370" s="1"/>
    </row>
    <row r="1371" spans="1:16" ht="15.75" customHeight="1">
      <c r="A1371" s="1"/>
      <c r="B1371" s="1"/>
      <c r="C1371" s="1"/>
      <c r="D1371" s="1"/>
      <c r="E1371" s="1"/>
      <c r="F1371" s="1"/>
      <c r="G1371" s="1"/>
      <c r="H1371" s="1"/>
      <c r="I1371" s="1"/>
      <c r="J1371" s="1"/>
      <c r="K1371" s="1"/>
      <c r="O1371" s="1"/>
    </row>
    <row r="1372" spans="1:16" ht="15.75" customHeight="1">
      <c r="A1372" s="1"/>
      <c r="B1372" s="1"/>
      <c r="C1372" s="1"/>
      <c r="D1372" s="1"/>
      <c r="E1372" s="1"/>
      <c r="F1372" s="1"/>
      <c r="H1372" s="1"/>
      <c r="I1372" s="1"/>
      <c r="J1372" s="1"/>
      <c r="K1372" s="1"/>
      <c r="O1372" s="1"/>
    </row>
    <row r="1373" spans="1:16" ht="15.75" customHeight="1">
      <c r="A1373" s="1"/>
      <c r="B1373" s="1"/>
      <c r="C1373" s="1"/>
      <c r="D1373" s="1"/>
      <c r="E1373" s="1"/>
      <c r="F1373" s="1"/>
      <c r="G1373" s="1"/>
      <c r="H1373" s="1"/>
      <c r="I1373" s="1"/>
      <c r="J1373" s="1"/>
      <c r="K1373" s="1"/>
      <c r="L1373" s="1"/>
      <c r="M1373" s="1"/>
      <c r="N1373" s="1"/>
      <c r="O1373" s="1"/>
      <c r="P1373" s="5"/>
    </row>
    <row r="1374" spans="1:16" ht="15.75" customHeight="1">
      <c r="A1374" s="1"/>
      <c r="B1374" s="1"/>
      <c r="C1374" s="1"/>
      <c r="D1374" s="1"/>
      <c r="E1374" s="1"/>
      <c r="F1374" s="1"/>
      <c r="H1374" s="1"/>
      <c r="I1374" s="1"/>
      <c r="J1374" s="1"/>
      <c r="K1374" s="1"/>
      <c r="O1374" s="1"/>
    </row>
    <row r="1375" spans="1:16" ht="15.75" customHeight="1">
      <c r="A1375" s="1"/>
      <c r="B1375" s="1"/>
      <c r="C1375" s="1"/>
      <c r="D1375" s="1"/>
      <c r="E1375" s="1"/>
      <c r="F1375" s="1"/>
      <c r="H1375" s="1"/>
      <c r="I1375" s="1"/>
      <c r="J1375" s="1"/>
      <c r="K1375" s="1"/>
      <c r="O1375" s="1"/>
    </row>
    <row r="1376" spans="1:16" ht="15.75" customHeight="1">
      <c r="A1376" s="1"/>
      <c r="B1376" s="1"/>
      <c r="C1376" s="1"/>
      <c r="D1376" s="1"/>
      <c r="E1376" s="1"/>
      <c r="F1376" s="1"/>
      <c r="G1376" s="1"/>
      <c r="H1376" s="1"/>
      <c r="I1376" s="1"/>
      <c r="J1376" s="1"/>
      <c r="K1376" s="1"/>
      <c r="L1376" s="1"/>
      <c r="M1376" s="1"/>
      <c r="N1376" s="1"/>
      <c r="O1376" s="1"/>
      <c r="P1376" s="5"/>
    </row>
    <row r="1377" spans="1:16" ht="15.75" customHeight="1">
      <c r="A1377" s="1"/>
      <c r="B1377" s="1"/>
      <c r="C1377" s="1"/>
      <c r="D1377" s="1"/>
      <c r="E1377" s="1"/>
      <c r="F1377" s="1"/>
      <c r="H1377" s="1"/>
      <c r="I1377" s="1"/>
      <c r="J1377" s="1"/>
      <c r="K1377" s="1"/>
      <c r="O1377" s="1"/>
    </row>
    <row r="1378" spans="1:16" ht="15.75" customHeight="1">
      <c r="A1378" s="1"/>
      <c r="B1378" s="1"/>
      <c r="C1378" s="1"/>
      <c r="D1378" s="1"/>
      <c r="E1378" s="1"/>
      <c r="F1378" s="1"/>
      <c r="G1378" s="1"/>
      <c r="H1378" s="1"/>
      <c r="I1378" s="1"/>
      <c r="J1378" s="1"/>
      <c r="K1378" s="1"/>
      <c r="O1378" s="1"/>
    </row>
    <row r="1379" spans="1:16" ht="15.75" customHeight="1">
      <c r="A1379" s="1"/>
      <c r="B1379" s="1"/>
      <c r="C1379" s="1"/>
      <c r="D1379" s="1"/>
      <c r="E1379" s="1"/>
      <c r="F1379" s="1"/>
      <c r="G1379" s="1"/>
      <c r="H1379" s="1"/>
      <c r="I1379" s="1"/>
      <c r="J1379" s="1"/>
      <c r="O1379" s="1"/>
    </row>
    <row r="1380" spans="1:16" ht="15.75" customHeight="1">
      <c r="A1380" s="1"/>
      <c r="B1380" s="1"/>
      <c r="C1380" s="1"/>
      <c r="D1380" s="1"/>
      <c r="E1380" s="1"/>
      <c r="F1380" s="1"/>
      <c r="H1380" s="1"/>
      <c r="I1380" s="1"/>
      <c r="J1380" s="1"/>
      <c r="O1380" s="1"/>
    </row>
    <row r="1381" spans="1:16" ht="15.75" customHeight="1">
      <c r="A1381" s="1"/>
      <c r="B1381" s="1"/>
      <c r="C1381" s="1"/>
      <c r="D1381" s="1"/>
      <c r="E1381" s="1"/>
      <c r="F1381" s="1"/>
      <c r="H1381" s="1"/>
      <c r="I1381" s="1"/>
      <c r="J1381" s="1"/>
      <c r="K1381" s="1"/>
      <c r="O1381" s="1"/>
    </row>
    <row r="1382" spans="1:16" ht="15.75" customHeight="1">
      <c r="A1382" s="1"/>
      <c r="B1382" s="1"/>
      <c r="C1382" s="1"/>
      <c r="D1382" s="1"/>
      <c r="E1382" s="1"/>
      <c r="F1382" s="1"/>
      <c r="H1382" s="1"/>
      <c r="I1382" s="1"/>
      <c r="J1382" s="1"/>
      <c r="K1382" s="1"/>
      <c r="O1382" s="1"/>
    </row>
    <row r="1383" spans="1:16" ht="15.75" customHeight="1">
      <c r="A1383" s="1"/>
      <c r="B1383" s="1"/>
      <c r="C1383" s="1"/>
      <c r="D1383" s="1"/>
      <c r="E1383" s="1"/>
      <c r="F1383" s="1"/>
      <c r="H1383" s="1"/>
      <c r="I1383" s="1"/>
      <c r="J1383" s="1"/>
      <c r="K1383" s="1"/>
      <c r="O1383" s="1"/>
    </row>
    <row r="1384" spans="1:16" ht="15.75" customHeight="1">
      <c r="A1384" s="1"/>
      <c r="B1384" s="1"/>
      <c r="C1384" s="1"/>
      <c r="D1384" s="1"/>
      <c r="E1384" s="1"/>
      <c r="F1384" s="1"/>
      <c r="G1384" s="1"/>
      <c r="H1384" s="1"/>
      <c r="I1384" s="1"/>
      <c r="J1384" s="1"/>
      <c r="K1384" s="1"/>
      <c r="L1384" s="1"/>
      <c r="M1384" s="1"/>
      <c r="N1384" s="1"/>
      <c r="O1384" s="1"/>
      <c r="P1384" s="5"/>
    </row>
    <row r="1385" spans="1:16" ht="15.75" customHeight="1">
      <c r="A1385" s="1"/>
      <c r="B1385" s="1"/>
      <c r="C1385" s="1"/>
      <c r="D1385" s="1"/>
      <c r="E1385" s="1"/>
      <c r="F1385" s="1"/>
      <c r="H1385" s="1"/>
      <c r="I1385" s="1"/>
      <c r="J1385" s="1"/>
      <c r="K1385" s="1"/>
      <c r="O1385" s="1"/>
    </row>
    <row r="1386" spans="1:16" ht="15.75" customHeight="1">
      <c r="A1386" s="1"/>
      <c r="B1386" s="1"/>
      <c r="C1386" s="1"/>
      <c r="D1386" s="1"/>
      <c r="E1386" s="1"/>
      <c r="F1386" s="1"/>
      <c r="H1386" s="1"/>
      <c r="I1386" s="1"/>
      <c r="J1386" s="1"/>
      <c r="O1386" s="1"/>
    </row>
    <row r="1387" spans="1:16" ht="15.75" customHeight="1">
      <c r="A1387" s="1"/>
      <c r="B1387" s="1"/>
      <c r="C1387" s="1"/>
      <c r="D1387" s="1"/>
      <c r="E1387" s="1"/>
      <c r="F1387" s="1"/>
      <c r="H1387" s="1"/>
      <c r="I1387" s="1"/>
      <c r="J1387" s="1"/>
      <c r="K1387" s="1"/>
      <c r="O1387" s="1"/>
    </row>
    <row r="1388" spans="1:16" ht="15.75" customHeight="1">
      <c r="A1388" s="1"/>
      <c r="B1388" s="1"/>
      <c r="C1388" s="1"/>
      <c r="D1388" s="1"/>
      <c r="E1388" s="1"/>
      <c r="F1388" s="1"/>
      <c r="G1388" s="1"/>
      <c r="H1388" s="1"/>
      <c r="I1388" s="1"/>
      <c r="J1388" s="1"/>
      <c r="K1388" s="1"/>
      <c r="L1388" s="1"/>
      <c r="M1388" s="1"/>
      <c r="N1388" s="1"/>
      <c r="O1388" s="1"/>
      <c r="P1388" s="5"/>
    </row>
    <row r="1389" spans="1:16" ht="15.75" customHeight="1">
      <c r="A1389" s="1"/>
      <c r="B1389" s="1"/>
      <c r="C1389" s="1"/>
      <c r="D1389" s="1"/>
      <c r="E1389" s="1"/>
      <c r="F1389" s="1"/>
      <c r="H1389" s="1"/>
      <c r="I1389" s="1"/>
      <c r="J1389" s="1"/>
      <c r="K1389" s="1"/>
      <c r="O1389" s="1"/>
    </row>
    <row r="1390" spans="1:16" ht="15.75" customHeight="1">
      <c r="A1390" s="1"/>
      <c r="B1390" s="1"/>
      <c r="C1390" s="1"/>
      <c r="D1390" s="1"/>
      <c r="E1390" s="1"/>
      <c r="F1390" s="1"/>
      <c r="G1390" s="1"/>
      <c r="H1390" s="1"/>
      <c r="I1390" s="1"/>
      <c r="J1390" s="1"/>
      <c r="K1390" s="1"/>
      <c r="O1390" s="1"/>
    </row>
    <row r="1391" spans="1:16" ht="15.75" customHeight="1">
      <c r="A1391" s="1"/>
      <c r="B1391" s="1"/>
      <c r="C1391" s="1"/>
      <c r="D1391" s="1"/>
      <c r="E1391" s="1"/>
      <c r="F1391" s="1"/>
      <c r="H1391" s="1"/>
      <c r="I1391" s="1"/>
      <c r="J1391" s="1"/>
      <c r="K1391" s="1"/>
      <c r="O1391" s="1"/>
    </row>
    <row r="1392" spans="1:16" ht="15.75" customHeight="1">
      <c r="A1392" s="1"/>
      <c r="B1392" s="1"/>
      <c r="C1392" s="1"/>
      <c r="D1392" s="1"/>
      <c r="E1392" s="1"/>
      <c r="F1392" s="1"/>
      <c r="G1392" s="1"/>
      <c r="H1392" s="1"/>
      <c r="I1392" s="1"/>
      <c r="J1392" s="1"/>
      <c r="K1392" s="1"/>
      <c r="L1392" s="1"/>
      <c r="M1392" s="1"/>
      <c r="N1392" s="1"/>
      <c r="O1392" s="1"/>
      <c r="P1392" s="5"/>
    </row>
    <row r="1393" spans="1:16" ht="15.75" customHeight="1">
      <c r="A1393" s="1"/>
      <c r="B1393" s="1"/>
      <c r="C1393" s="1"/>
      <c r="D1393" s="1"/>
      <c r="E1393" s="1"/>
      <c r="F1393" s="1"/>
      <c r="G1393" s="1"/>
      <c r="H1393" s="1"/>
      <c r="I1393" s="1"/>
      <c r="J1393" s="1"/>
      <c r="K1393" s="1"/>
      <c r="L1393" s="1"/>
      <c r="M1393" s="1"/>
      <c r="N1393" s="1"/>
      <c r="O1393" s="1"/>
      <c r="P1393" s="5"/>
    </row>
    <row r="1394" spans="1:16" ht="15.75" customHeight="1">
      <c r="A1394" s="1"/>
      <c r="B1394" s="1"/>
      <c r="C1394" s="1"/>
      <c r="D1394" s="1"/>
      <c r="E1394" s="1"/>
      <c r="F1394" s="1"/>
      <c r="H1394" s="1"/>
      <c r="I1394" s="1"/>
      <c r="J1394" s="1"/>
      <c r="K1394" s="1"/>
      <c r="O1394" s="1"/>
    </row>
    <row r="1395" spans="1:16" ht="15.75" customHeight="1">
      <c r="A1395" s="1"/>
      <c r="B1395" s="1"/>
      <c r="C1395" s="1"/>
      <c r="D1395" s="1"/>
      <c r="E1395" s="1"/>
      <c r="F1395" s="1"/>
      <c r="G1395" s="1"/>
      <c r="H1395" s="1"/>
      <c r="I1395" s="1"/>
      <c r="J1395" s="1"/>
      <c r="K1395" s="1"/>
      <c r="L1395" s="1"/>
      <c r="M1395" s="1"/>
      <c r="N1395" s="1"/>
      <c r="O1395" s="1"/>
      <c r="P1395" s="5"/>
    </row>
    <row r="1396" spans="1:16" ht="15.75" customHeight="1">
      <c r="A1396" s="1"/>
      <c r="B1396" s="1"/>
      <c r="C1396" s="1"/>
      <c r="D1396" s="1"/>
      <c r="E1396" s="1"/>
      <c r="F1396" s="1"/>
      <c r="H1396" s="1"/>
      <c r="I1396" s="1"/>
      <c r="J1396" s="1"/>
      <c r="K1396" s="1"/>
      <c r="O1396" s="1"/>
    </row>
    <row r="1397" spans="1:16" ht="15.75" customHeight="1">
      <c r="A1397" s="1"/>
      <c r="B1397" s="1"/>
      <c r="C1397" s="1"/>
      <c r="D1397" s="1"/>
      <c r="E1397" s="1"/>
      <c r="F1397" s="1"/>
      <c r="G1397" s="1"/>
      <c r="H1397" s="1"/>
      <c r="I1397" s="1"/>
      <c r="J1397" s="1"/>
      <c r="K1397" s="1"/>
      <c r="L1397" s="1"/>
      <c r="M1397" s="1"/>
      <c r="N1397" s="1"/>
      <c r="O1397" s="1"/>
      <c r="P1397" s="5"/>
    </row>
    <row r="1398" spans="1:16" ht="15.75" customHeight="1">
      <c r="A1398" s="1"/>
      <c r="B1398" s="1"/>
      <c r="C1398" s="1"/>
      <c r="D1398" s="1"/>
      <c r="E1398" s="1"/>
      <c r="F1398" s="1"/>
      <c r="H1398" s="1"/>
      <c r="I1398" s="1"/>
      <c r="J1398" s="1"/>
      <c r="K1398" s="1"/>
    </row>
    <row r="1399" spans="1:16" ht="15.75" customHeight="1">
      <c r="A1399" s="1"/>
      <c r="B1399" s="1"/>
      <c r="C1399" s="1"/>
      <c r="D1399" s="1"/>
      <c r="E1399" s="1"/>
      <c r="F1399" s="1"/>
      <c r="H1399" s="1"/>
      <c r="I1399" s="1"/>
      <c r="J1399" s="1"/>
      <c r="K1399" s="1"/>
      <c r="O1399" s="1"/>
    </row>
    <row r="1400" spans="1:16" ht="15.75" customHeight="1">
      <c r="A1400" s="1"/>
      <c r="B1400" s="1"/>
      <c r="C1400" s="1"/>
      <c r="D1400" s="1"/>
      <c r="E1400" s="1"/>
      <c r="F1400" s="1"/>
      <c r="G1400" s="1"/>
      <c r="H1400" s="1"/>
      <c r="I1400" s="1"/>
      <c r="J1400" s="1"/>
      <c r="K1400" s="1"/>
      <c r="L1400" s="1"/>
      <c r="M1400" s="1"/>
      <c r="N1400" s="1"/>
      <c r="O1400" s="1"/>
      <c r="P1400" s="5"/>
    </row>
    <row r="1401" spans="1:16" ht="15.75" customHeight="1">
      <c r="A1401" s="1"/>
      <c r="B1401" s="1"/>
      <c r="C1401" s="1"/>
      <c r="D1401" s="1"/>
      <c r="E1401" s="1"/>
      <c r="F1401" s="1"/>
      <c r="H1401" s="1"/>
      <c r="I1401" s="1"/>
      <c r="J1401" s="1"/>
      <c r="O1401" s="1"/>
    </row>
    <row r="1402" spans="1:16" ht="15.75" customHeight="1">
      <c r="A1402" s="1"/>
      <c r="B1402" s="1"/>
      <c r="C1402" s="1"/>
      <c r="D1402" s="1"/>
      <c r="E1402" s="1"/>
      <c r="F1402" s="1"/>
      <c r="H1402" s="1"/>
      <c r="I1402" s="1"/>
      <c r="J1402" s="1"/>
      <c r="O1402" s="1"/>
    </row>
    <row r="1403" spans="1:16" ht="15.75" customHeight="1">
      <c r="A1403" s="1"/>
      <c r="B1403" s="1"/>
      <c r="C1403" s="1"/>
      <c r="D1403" s="1"/>
      <c r="E1403" s="1"/>
      <c r="F1403" s="1"/>
      <c r="H1403" s="1"/>
      <c r="I1403" s="1"/>
      <c r="J1403" s="1"/>
      <c r="K1403" s="1"/>
      <c r="O1403" s="1"/>
    </row>
    <row r="1404" spans="1:16" ht="15.75" customHeight="1">
      <c r="A1404" s="1"/>
      <c r="B1404" s="1"/>
      <c r="C1404" s="1"/>
      <c r="D1404" s="1"/>
      <c r="E1404" s="1"/>
      <c r="F1404" s="1"/>
      <c r="G1404" s="1"/>
      <c r="H1404" s="1"/>
      <c r="I1404" s="1"/>
      <c r="J1404" s="1"/>
      <c r="K1404" s="1"/>
      <c r="O1404" s="1"/>
    </row>
    <row r="1405" spans="1:16" ht="15.75" customHeight="1">
      <c r="A1405" s="1"/>
      <c r="B1405" s="1"/>
      <c r="C1405" s="1"/>
      <c r="D1405" s="1"/>
      <c r="E1405" s="1"/>
      <c r="F1405" s="1"/>
      <c r="G1405" s="1"/>
      <c r="H1405" s="1"/>
      <c r="I1405" s="1"/>
      <c r="K1405" s="1"/>
      <c r="O1405" s="1"/>
    </row>
    <row r="1406" spans="1:16" ht="15.75" customHeight="1">
      <c r="A1406" s="1"/>
      <c r="B1406" s="1"/>
      <c r="C1406" s="1"/>
      <c r="D1406" s="1"/>
      <c r="E1406" s="1"/>
      <c r="F1406" s="1"/>
      <c r="G1406" s="1"/>
      <c r="H1406" s="1"/>
      <c r="I1406" s="1"/>
      <c r="K1406" s="1"/>
      <c r="O1406" s="1"/>
    </row>
    <row r="1407" spans="1:16" ht="15.75" customHeight="1">
      <c r="A1407" s="1"/>
      <c r="B1407" s="1"/>
      <c r="C1407" s="1"/>
      <c r="D1407" s="1"/>
      <c r="E1407" s="1"/>
      <c r="F1407" s="1"/>
      <c r="H1407" s="1"/>
      <c r="I1407" s="1"/>
      <c r="J1407" s="1"/>
      <c r="K1407" s="1"/>
      <c r="O1407" s="1"/>
    </row>
    <row r="1408" spans="1:16" ht="15.75" customHeight="1">
      <c r="A1408" s="1"/>
      <c r="B1408" s="1"/>
      <c r="C1408" s="2"/>
      <c r="D1408" s="1"/>
      <c r="E1408" s="1"/>
      <c r="F1408" s="1"/>
      <c r="H1408" s="1"/>
      <c r="I1408" s="1"/>
      <c r="J1408" s="1"/>
      <c r="K1408" s="1"/>
      <c r="O1408" s="1"/>
    </row>
    <row r="1409" spans="1:16" ht="15.75" customHeight="1">
      <c r="A1409" s="1"/>
      <c r="B1409" s="1"/>
      <c r="C1409" s="1"/>
      <c r="D1409" s="1"/>
      <c r="E1409" s="1"/>
      <c r="F1409" s="1"/>
      <c r="H1409" s="1"/>
      <c r="I1409" s="1"/>
      <c r="J1409" s="1"/>
      <c r="K1409" s="1"/>
      <c r="O1409" s="1"/>
    </row>
    <row r="1410" spans="1:16" ht="15.75" customHeight="1">
      <c r="A1410" s="1"/>
      <c r="B1410" s="1"/>
      <c r="C1410" s="1"/>
      <c r="D1410" s="1"/>
      <c r="E1410" s="1"/>
      <c r="F1410" s="1"/>
      <c r="H1410" s="1"/>
      <c r="I1410" s="1"/>
      <c r="J1410" s="1"/>
      <c r="K1410" s="1"/>
      <c r="O1410" s="1"/>
    </row>
    <row r="1411" spans="1:16" ht="15.75" customHeight="1">
      <c r="A1411" s="1"/>
      <c r="B1411" s="1"/>
      <c r="C1411" s="1"/>
      <c r="D1411" s="1"/>
      <c r="E1411" s="1"/>
      <c r="F1411" s="1"/>
      <c r="H1411" s="1"/>
      <c r="I1411" s="1"/>
      <c r="J1411" s="1"/>
      <c r="O1411" s="1"/>
    </row>
    <row r="1412" spans="1:16" ht="15.75" customHeight="1">
      <c r="A1412" s="1"/>
      <c r="B1412" s="1"/>
      <c r="C1412" s="1"/>
      <c r="D1412" s="1"/>
      <c r="E1412" s="1"/>
      <c r="F1412" s="1"/>
      <c r="H1412" s="1"/>
      <c r="I1412" s="1"/>
      <c r="J1412" s="1"/>
      <c r="O1412" s="1"/>
    </row>
    <row r="1413" spans="1:16" ht="15.75" customHeight="1">
      <c r="A1413" s="1"/>
      <c r="B1413" s="1"/>
      <c r="C1413" s="1"/>
      <c r="D1413" s="1"/>
      <c r="E1413" s="1"/>
      <c r="F1413" s="1"/>
      <c r="H1413" s="1"/>
      <c r="I1413" s="1"/>
      <c r="J1413" s="1"/>
      <c r="O1413" s="1"/>
    </row>
    <row r="1414" spans="1:16" ht="15.75" customHeight="1">
      <c r="A1414" s="1"/>
      <c r="B1414" s="1"/>
      <c r="C1414" s="1"/>
      <c r="D1414" s="1"/>
      <c r="E1414" s="1"/>
      <c r="F1414" s="1"/>
      <c r="G1414" s="1"/>
      <c r="H1414" s="1"/>
      <c r="I1414" s="1"/>
      <c r="K1414" s="1"/>
      <c r="O1414" s="1"/>
    </row>
    <row r="1415" spans="1:16" ht="15.75" customHeight="1">
      <c r="A1415" s="1"/>
      <c r="B1415" s="1"/>
      <c r="C1415" s="1"/>
      <c r="D1415" s="1"/>
      <c r="E1415" s="1"/>
      <c r="F1415" s="1"/>
      <c r="G1415" s="1"/>
      <c r="H1415" s="1"/>
      <c r="I1415" s="1"/>
      <c r="J1415" s="1"/>
      <c r="K1415" s="1"/>
    </row>
    <row r="1416" spans="1:16" ht="15.75" customHeight="1">
      <c r="A1416" s="1"/>
      <c r="B1416" s="1"/>
      <c r="C1416" s="1"/>
      <c r="D1416" s="1"/>
      <c r="E1416" s="1"/>
      <c r="F1416" s="1"/>
      <c r="G1416" s="1"/>
      <c r="H1416" s="1"/>
      <c r="I1416" s="1"/>
      <c r="K1416" s="1"/>
    </row>
    <row r="1417" spans="1:16" ht="15.75" customHeight="1">
      <c r="A1417" s="1"/>
      <c r="B1417" s="1"/>
      <c r="C1417" s="1"/>
      <c r="D1417" s="1"/>
      <c r="E1417" s="1"/>
      <c r="F1417" s="1"/>
      <c r="G1417" s="1"/>
      <c r="H1417" s="1"/>
      <c r="I1417" s="1"/>
      <c r="J1417" s="1"/>
      <c r="O1417" s="1"/>
    </row>
    <row r="1418" spans="1:16" ht="15.75" customHeight="1">
      <c r="A1418" s="1"/>
      <c r="B1418" s="1"/>
      <c r="C1418" s="1"/>
      <c r="D1418" s="1"/>
      <c r="E1418" s="1"/>
      <c r="F1418" s="1"/>
      <c r="G1418" s="1"/>
      <c r="H1418" s="1"/>
      <c r="I1418" s="1"/>
      <c r="J1418" s="1"/>
      <c r="K1418" s="1"/>
    </row>
    <row r="1419" spans="1:16" ht="15.75" customHeight="1">
      <c r="A1419" s="1"/>
      <c r="B1419" s="1"/>
      <c r="C1419" s="1"/>
      <c r="D1419" s="1"/>
      <c r="E1419" s="1"/>
      <c r="F1419" s="1"/>
      <c r="G1419" s="1"/>
      <c r="H1419" s="1"/>
      <c r="I1419" s="1"/>
      <c r="J1419" s="1"/>
      <c r="K1419" s="1"/>
    </row>
    <row r="1420" spans="1:16" ht="15.75" customHeight="1">
      <c r="A1420" s="1"/>
      <c r="B1420" s="1"/>
      <c r="C1420" s="1"/>
      <c r="D1420" s="1"/>
      <c r="E1420" s="1"/>
      <c r="F1420" s="1"/>
      <c r="G1420" s="1"/>
      <c r="H1420" s="1"/>
      <c r="I1420" s="1"/>
      <c r="J1420" s="1"/>
      <c r="K1420" s="1"/>
    </row>
    <row r="1421" spans="1:16" ht="15.75" customHeight="1">
      <c r="A1421" s="1"/>
      <c r="B1421" s="1"/>
      <c r="C1421" s="1"/>
      <c r="D1421" s="1"/>
      <c r="E1421" s="1"/>
      <c r="F1421" s="1"/>
      <c r="G1421" s="1"/>
      <c r="H1421" s="1"/>
      <c r="I1421" s="1"/>
      <c r="J1421" s="1"/>
      <c r="K1421" s="1"/>
    </row>
    <row r="1422" spans="1:16" ht="15.75" customHeight="1">
      <c r="A1422" s="1"/>
      <c r="B1422" s="1"/>
      <c r="C1422" s="1"/>
      <c r="D1422" s="1"/>
      <c r="E1422" s="1"/>
      <c r="F1422" s="1"/>
      <c r="G1422" s="1"/>
      <c r="H1422" s="1"/>
      <c r="I1422" s="1"/>
      <c r="J1422" s="1"/>
      <c r="K1422" s="1"/>
      <c r="L1422" s="1"/>
      <c r="M1422" s="1"/>
      <c r="N1422" s="1"/>
      <c r="O1422" s="1"/>
      <c r="P1422" s="5"/>
    </row>
    <row r="1423" spans="1:16" ht="15.75" customHeight="1">
      <c r="A1423" s="1"/>
      <c r="B1423" s="1"/>
      <c r="C1423" s="1"/>
      <c r="D1423" s="1"/>
      <c r="E1423" s="1"/>
      <c r="F1423" s="1"/>
      <c r="H1423" s="1"/>
      <c r="I1423" s="1"/>
      <c r="J1423" s="1"/>
      <c r="K1423" s="1"/>
      <c r="O1423" s="1"/>
    </row>
    <row r="1424" spans="1:16" ht="15.75" customHeight="1">
      <c r="A1424" s="1"/>
      <c r="B1424" s="1"/>
      <c r="C1424" s="1"/>
      <c r="D1424" s="1"/>
      <c r="E1424" s="1"/>
      <c r="F1424" s="1"/>
      <c r="H1424" s="1"/>
      <c r="I1424" s="1"/>
      <c r="J1424" s="1"/>
      <c r="K1424" s="1"/>
      <c r="O1424" s="1"/>
    </row>
    <row r="1425" spans="1:16" ht="15.75" customHeight="1">
      <c r="A1425" s="1"/>
      <c r="B1425" s="1"/>
      <c r="C1425" s="1"/>
      <c r="D1425" s="1"/>
      <c r="F1425" s="1"/>
      <c r="H1425" s="1"/>
      <c r="I1425" s="1"/>
      <c r="J1425" s="1"/>
      <c r="K1425" s="1"/>
      <c r="O1425" s="1"/>
    </row>
    <row r="1426" spans="1:16" ht="15.75" customHeight="1">
      <c r="A1426" s="1"/>
      <c r="B1426" s="1"/>
      <c r="C1426" s="1"/>
      <c r="D1426" s="1"/>
      <c r="F1426" s="1"/>
      <c r="H1426" s="1"/>
      <c r="I1426" s="1"/>
      <c r="J1426" s="1"/>
      <c r="K1426" s="1"/>
      <c r="O1426" s="1"/>
    </row>
    <row r="1427" spans="1:16" ht="15.75" customHeight="1">
      <c r="A1427" s="1"/>
      <c r="B1427" s="1"/>
      <c r="C1427" s="1"/>
      <c r="D1427" s="1"/>
      <c r="E1427" s="1"/>
      <c r="F1427" s="1"/>
      <c r="H1427" s="1"/>
      <c r="I1427" s="1"/>
      <c r="J1427" s="1"/>
      <c r="K1427" s="1"/>
      <c r="O1427" s="1"/>
    </row>
    <row r="1428" spans="1:16" ht="15.75" customHeight="1">
      <c r="A1428" s="1"/>
      <c r="B1428" s="1"/>
      <c r="C1428" s="1"/>
      <c r="D1428" s="1"/>
      <c r="E1428" s="1"/>
      <c r="F1428" s="1"/>
      <c r="H1428" s="1"/>
      <c r="I1428" s="1"/>
      <c r="J1428" s="1"/>
      <c r="K1428" s="1"/>
    </row>
    <row r="1429" spans="1:16" ht="15.75" customHeight="1">
      <c r="A1429" s="1"/>
      <c r="B1429" s="1"/>
      <c r="C1429" s="1"/>
      <c r="D1429" s="1"/>
      <c r="E1429" s="1"/>
      <c r="F1429" s="1"/>
      <c r="H1429" s="1"/>
      <c r="I1429" s="1"/>
      <c r="J1429" s="1"/>
      <c r="O1429" s="1"/>
    </row>
    <row r="1430" spans="1:16" ht="15.75" customHeight="1">
      <c r="A1430" s="1"/>
      <c r="B1430" s="1"/>
      <c r="C1430" s="1"/>
      <c r="D1430" s="1"/>
      <c r="E1430" s="1"/>
      <c r="F1430" s="1"/>
      <c r="H1430" s="1"/>
      <c r="I1430" s="1"/>
      <c r="J1430" s="1"/>
      <c r="K1430" s="1"/>
      <c r="O1430" s="1"/>
    </row>
    <row r="1431" spans="1:16" ht="15.75" customHeight="1">
      <c r="A1431" s="1"/>
      <c r="B1431" s="1"/>
      <c r="C1431" s="1"/>
      <c r="D1431" s="1"/>
      <c r="E1431" s="1"/>
      <c r="F1431" s="1"/>
      <c r="H1431" s="1"/>
      <c r="I1431" s="1"/>
      <c r="J1431" s="1"/>
      <c r="O1431" s="1"/>
    </row>
    <row r="1432" spans="1:16" ht="15.75" customHeight="1">
      <c r="A1432" s="1"/>
      <c r="B1432" s="1"/>
      <c r="C1432" s="1"/>
      <c r="D1432" s="1"/>
      <c r="E1432" s="1"/>
      <c r="F1432" s="2"/>
      <c r="H1432" s="1"/>
      <c r="I1432" s="1"/>
      <c r="J1432" s="1"/>
      <c r="K1432" s="1"/>
      <c r="O1432" s="1"/>
    </row>
    <row r="1433" spans="1:16" ht="15.75" customHeight="1">
      <c r="A1433" s="1"/>
      <c r="B1433" s="1"/>
      <c r="C1433" s="1"/>
      <c r="D1433" s="1"/>
      <c r="E1433" s="1"/>
      <c r="F1433" s="1"/>
      <c r="H1433" s="1"/>
      <c r="I1433" s="1"/>
      <c r="J1433" s="1"/>
      <c r="K1433" s="1"/>
      <c r="O1433" s="1"/>
    </row>
    <row r="1434" spans="1:16" ht="15.75" customHeight="1">
      <c r="A1434" s="1"/>
      <c r="B1434" s="1"/>
      <c r="C1434" s="1"/>
      <c r="D1434" s="1"/>
      <c r="E1434" s="1"/>
      <c r="F1434" s="1"/>
      <c r="G1434" s="1"/>
      <c r="H1434" s="1"/>
      <c r="I1434" s="1"/>
      <c r="J1434" s="1"/>
      <c r="K1434" s="1"/>
      <c r="L1434" s="1"/>
      <c r="M1434" s="1"/>
      <c r="N1434" s="1"/>
      <c r="O1434" s="1"/>
      <c r="P1434" s="5"/>
    </row>
    <row r="1435" spans="1:16" ht="15.75" customHeight="1">
      <c r="A1435" s="1"/>
      <c r="B1435" s="1"/>
      <c r="C1435" s="1"/>
      <c r="D1435" s="1"/>
      <c r="E1435" s="2"/>
      <c r="F1435" s="2"/>
      <c r="H1435" s="1"/>
      <c r="I1435" s="1"/>
      <c r="J1435" s="1"/>
      <c r="K1435" s="1"/>
      <c r="O1435" s="1"/>
    </row>
    <row r="1436" spans="1:16" ht="15.75" customHeight="1">
      <c r="A1436" s="1"/>
      <c r="B1436" s="1"/>
      <c r="C1436" s="1"/>
      <c r="D1436" s="1"/>
      <c r="E1436" s="1"/>
      <c r="F1436" s="1"/>
      <c r="H1436" s="1"/>
      <c r="I1436" s="1"/>
      <c r="J1436" s="1"/>
      <c r="K1436" s="1"/>
      <c r="O1436" s="1"/>
    </row>
    <row r="1437" spans="1:16" ht="15.75" customHeight="1">
      <c r="A1437" s="1"/>
      <c r="B1437" s="1"/>
      <c r="C1437" s="1"/>
      <c r="D1437" s="1"/>
      <c r="E1437" s="1"/>
      <c r="F1437" s="1"/>
      <c r="H1437" s="1"/>
      <c r="I1437" s="1"/>
      <c r="J1437" s="1"/>
      <c r="K1437" s="1"/>
      <c r="O1437" s="1"/>
    </row>
    <row r="1438" spans="1:16" ht="15.75" customHeight="1">
      <c r="A1438" s="1"/>
      <c r="B1438" s="1"/>
      <c r="C1438" s="1"/>
      <c r="D1438" s="1"/>
      <c r="E1438" s="1"/>
      <c r="F1438" s="2"/>
      <c r="G1438" s="1"/>
      <c r="H1438" s="1"/>
      <c r="I1438" s="1"/>
      <c r="J1438" s="1"/>
      <c r="K1438" s="1"/>
      <c r="L1438" s="1"/>
      <c r="M1438" s="1"/>
      <c r="N1438" s="1"/>
      <c r="O1438" s="1"/>
      <c r="P1438" s="5"/>
    </row>
    <row r="1439" spans="1:16" ht="15.75" customHeight="1">
      <c r="A1439" s="1"/>
      <c r="B1439" s="1"/>
      <c r="C1439" s="1"/>
      <c r="D1439" s="1"/>
      <c r="E1439" s="1"/>
      <c r="F1439" s="1"/>
      <c r="G1439" s="1"/>
      <c r="H1439" s="1"/>
      <c r="I1439" s="1"/>
      <c r="J1439" s="1"/>
      <c r="K1439" s="1"/>
      <c r="O1439" s="1"/>
    </row>
    <row r="1440" spans="1:16" ht="15.75" customHeight="1">
      <c r="A1440" s="1"/>
      <c r="B1440" s="1"/>
      <c r="C1440" s="1"/>
      <c r="D1440" s="1"/>
      <c r="E1440" s="1"/>
      <c r="F1440" s="1"/>
      <c r="G1440" s="1"/>
      <c r="H1440" s="1"/>
      <c r="I1440" s="1"/>
      <c r="J1440" s="1"/>
      <c r="K1440" s="1"/>
      <c r="L1440" s="1"/>
      <c r="M1440" s="1"/>
      <c r="N1440" s="1"/>
      <c r="O1440" s="1"/>
      <c r="P1440" s="5"/>
    </row>
    <row r="1441" spans="1:15" ht="15.75" customHeight="1">
      <c r="A1441" s="1"/>
      <c r="B1441" s="1"/>
      <c r="C1441" s="1"/>
      <c r="D1441" s="1"/>
      <c r="E1441" s="1"/>
      <c r="F1441" s="1"/>
      <c r="H1441" s="1"/>
      <c r="I1441" s="1"/>
      <c r="J1441" s="1"/>
      <c r="K1441" s="1"/>
      <c r="O1441" s="1"/>
    </row>
    <row r="1442" spans="1:15" ht="15.75" customHeight="1">
      <c r="A1442" s="1"/>
      <c r="B1442" s="1"/>
      <c r="C1442" s="1"/>
      <c r="D1442" s="1"/>
      <c r="E1442" s="1"/>
      <c r="F1442" s="1"/>
      <c r="H1442" s="1"/>
      <c r="I1442" s="1"/>
      <c r="J1442" s="1"/>
      <c r="O1442" s="1"/>
    </row>
    <row r="1443" spans="1:15" ht="15.75" customHeight="1">
      <c r="A1443" s="1"/>
      <c r="B1443" s="1"/>
      <c r="C1443" s="1"/>
      <c r="D1443" s="1"/>
      <c r="E1443" s="1"/>
      <c r="F1443" s="1"/>
      <c r="H1443" s="1"/>
      <c r="I1443" s="1"/>
      <c r="J1443" s="1"/>
      <c r="K1443" s="1"/>
      <c r="O1443" s="1"/>
    </row>
    <row r="1444" spans="1:15" ht="15.75" customHeight="1">
      <c r="A1444" s="1"/>
      <c r="B1444" s="1"/>
      <c r="C1444" s="1"/>
      <c r="D1444" s="1"/>
      <c r="E1444" s="1"/>
      <c r="F1444" s="1"/>
      <c r="H1444" s="1"/>
      <c r="I1444" s="1"/>
      <c r="J1444" s="1"/>
      <c r="K1444" s="1"/>
      <c r="O1444" s="1"/>
    </row>
    <row r="1445" spans="1:15" ht="15.75" customHeight="1">
      <c r="A1445" s="1"/>
      <c r="B1445" s="1"/>
      <c r="C1445" s="1"/>
      <c r="D1445" s="1"/>
      <c r="E1445" s="1"/>
      <c r="F1445" s="1"/>
      <c r="H1445" s="1"/>
      <c r="I1445" s="1"/>
      <c r="J1445" s="1"/>
      <c r="K1445" s="1"/>
      <c r="O1445" s="1"/>
    </row>
    <row r="1446" spans="1:15" ht="15.75" customHeight="1">
      <c r="A1446" s="1"/>
      <c r="B1446" s="1"/>
      <c r="C1446" s="1"/>
      <c r="D1446" s="1"/>
      <c r="E1446" s="1"/>
      <c r="F1446" s="1"/>
      <c r="H1446" s="1"/>
      <c r="I1446" s="1"/>
      <c r="J1446" s="1"/>
      <c r="O1446" s="1"/>
    </row>
    <row r="1447" spans="1:15" ht="15.75" customHeight="1">
      <c r="A1447" s="1"/>
      <c r="B1447" s="1"/>
      <c r="C1447" s="1"/>
      <c r="D1447" s="1"/>
      <c r="E1447" s="1"/>
      <c r="F1447" s="1"/>
      <c r="H1447" s="1"/>
      <c r="I1447" s="1"/>
      <c r="J1447" s="1"/>
      <c r="O1447" s="1"/>
    </row>
    <row r="1448" spans="1:15" ht="15.75" customHeight="1">
      <c r="A1448" s="1"/>
      <c r="B1448" s="1"/>
      <c r="C1448" s="1"/>
      <c r="D1448" s="1"/>
      <c r="E1448" s="1"/>
      <c r="F1448" s="1"/>
      <c r="H1448" s="1"/>
      <c r="I1448" s="1"/>
      <c r="J1448" s="1"/>
      <c r="O1448" s="1"/>
    </row>
    <row r="1449" spans="1:15" ht="15.75" customHeight="1">
      <c r="A1449" s="1"/>
      <c r="B1449" s="1"/>
      <c r="C1449" s="1"/>
      <c r="D1449" s="1"/>
      <c r="F1449" s="1"/>
      <c r="H1449" s="1"/>
      <c r="I1449" s="1"/>
      <c r="J1449" s="1"/>
      <c r="K1449" s="1"/>
      <c r="O1449" s="1"/>
    </row>
    <row r="1450" spans="1:15" ht="15.75" customHeight="1">
      <c r="A1450" s="1"/>
      <c r="B1450" s="1"/>
      <c r="C1450" s="1"/>
      <c r="D1450" s="1"/>
      <c r="F1450" s="1"/>
      <c r="H1450" s="1"/>
      <c r="I1450" s="1"/>
      <c r="J1450" s="1"/>
      <c r="K1450" s="1"/>
      <c r="O1450" s="1"/>
    </row>
    <row r="1451" spans="1:15" ht="15.75" customHeight="1">
      <c r="A1451" s="1"/>
      <c r="B1451" s="1"/>
      <c r="C1451" s="1"/>
      <c r="D1451" s="1"/>
      <c r="E1451" s="1"/>
      <c r="F1451" s="1"/>
      <c r="H1451" s="1"/>
      <c r="I1451" s="1"/>
      <c r="J1451" s="1"/>
      <c r="K1451" s="1"/>
      <c r="O1451" s="1"/>
    </row>
    <row r="1452" spans="1:15" ht="15.75" customHeight="1">
      <c r="A1452" s="1"/>
      <c r="B1452" s="1"/>
      <c r="C1452" s="1"/>
      <c r="D1452" s="1"/>
      <c r="F1452" s="1"/>
      <c r="H1452" s="1"/>
      <c r="I1452" s="1"/>
      <c r="J1452" s="1"/>
      <c r="K1452" s="1"/>
      <c r="O1452" s="1"/>
    </row>
    <row r="1453" spans="1:15" ht="15.75" customHeight="1">
      <c r="A1453" s="1"/>
      <c r="B1453" s="1"/>
      <c r="C1453" s="1"/>
      <c r="D1453" s="1"/>
      <c r="E1453" s="1"/>
      <c r="F1453" s="1"/>
      <c r="H1453" s="1"/>
      <c r="I1453" s="1"/>
      <c r="J1453" s="1"/>
      <c r="K1453" s="1"/>
      <c r="O1453" s="1"/>
    </row>
    <row r="1454" spans="1:15" ht="15.75" customHeight="1">
      <c r="A1454" s="1"/>
      <c r="B1454" s="1"/>
      <c r="C1454" s="1"/>
      <c r="D1454" s="1"/>
      <c r="E1454" s="1"/>
      <c r="F1454" s="1"/>
      <c r="H1454" s="1"/>
      <c r="I1454" s="1"/>
      <c r="O1454" s="1"/>
    </row>
    <row r="1455" spans="1:15" ht="15.75" customHeight="1">
      <c r="A1455" s="1"/>
      <c r="B1455" s="1"/>
      <c r="C1455" s="1"/>
      <c r="D1455" s="1"/>
      <c r="E1455" s="1"/>
      <c r="F1455" s="1"/>
      <c r="H1455" s="1"/>
      <c r="I1455" s="1"/>
      <c r="O1455" s="1"/>
    </row>
    <row r="1456" spans="1:15" ht="15.75" customHeight="1">
      <c r="A1456" s="1"/>
      <c r="B1456" s="1"/>
      <c r="C1456" s="1"/>
      <c r="D1456" s="1"/>
      <c r="E1456" s="1"/>
      <c r="F1456" s="1"/>
      <c r="H1456" s="1"/>
      <c r="I1456" s="1"/>
      <c r="J1456" s="1"/>
      <c r="K1456" s="1"/>
      <c r="O1456" s="1"/>
    </row>
    <row r="1457" spans="1:16" ht="15.75" customHeight="1">
      <c r="A1457" s="1"/>
      <c r="B1457" s="1"/>
      <c r="C1457" s="1"/>
      <c r="D1457" s="1"/>
      <c r="E1457" s="1"/>
      <c r="F1457" s="1"/>
      <c r="H1457" s="1"/>
      <c r="I1457" s="1"/>
      <c r="J1457" s="1"/>
      <c r="K1457" s="1"/>
      <c r="O1457" s="1"/>
    </row>
    <row r="1458" spans="1:16" ht="15.75" customHeight="1">
      <c r="A1458" s="1"/>
      <c r="B1458" s="1"/>
      <c r="C1458" s="1"/>
      <c r="D1458" s="1"/>
      <c r="E1458" s="1"/>
      <c r="F1458" s="1"/>
      <c r="G1458" s="1"/>
      <c r="H1458" s="1"/>
      <c r="I1458" s="1"/>
      <c r="J1458" s="1"/>
      <c r="K1458" s="1"/>
      <c r="L1458" s="1"/>
      <c r="M1458" s="1"/>
      <c r="N1458" s="1"/>
      <c r="O1458" s="1"/>
      <c r="P1458" s="5"/>
    </row>
    <row r="1459" spans="1:16" ht="15.75" customHeight="1">
      <c r="A1459" s="1"/>
      <c r="B1459" s="1"/>
      <c r="C1459" s="1"/>
      <c r="D1459" s="1"/>
      <c r="E1459" s="1"/>
      <c r="F1459" s="1"/>
      <c r="H1459" s="1"/>
      <c r="I1459" s="1"/>
      <c r="J1459" s="1"/>
      <c r="O1459" s="1"/>
    </row>
    <row r="1460" spans="1:16" ht="15.75" customHeight="1">
      <c r="A1460" s="1"/>
      <c r="B1460" s="1"/>
      <c r="C1460" s="1"/>
      <c r="D1460" s="1"/>
      <c r="E1460" s="1"/>
      <c r="F1460" s="1"/>
      <c r="H1460" s="1"/>
      <c r="I1460" s="1"/>
      <c r="J1460" s="1"/>
      <c r="K1460" s="1"/>
      <c r="O1460" s="1"/>
    </row>
    <row r="1461" spans="1:16" ht="15.75" customHeight="1">
      <c r="A1461" s="1"/>
      <c r="B1461" s="1"/>
      <c r="C1461" s="1"/>
      <c r="D1461" s="1"/>
      <c r="E1461" s="1"/>
      <c r="F1461" s="1"/>
      <c r="H1461" s="1"/>
      <c r="I1461" s="1"/>
      <c r="J1461" s="1"/>
      <c r="K1461" s="1"/>
      <c r="O1461" s="1"/>
    </row>
    <row r="1462" spans="1:16" ht="15.75" customHeight="1">
      <c r="A1462" s="1"/>
      <c r="B1462" s="1"/>
      <c r="C1462" s="1"/>
      <c r="D1462" s="1"/>
      <c r="E1462" s="1"/>
      <c r="F1462" s="1"/>
      <c r="H1462" s="1"/>
      <c r="I1462" s="1"/>
      <c r="J1462" s="1"/>
      <c r="K1462" s="1"/>
      <c r="O1462" s="1"/>
    </row>
    <row r="1463" spans="1:16" ht="15.75" customHeight="1">
      <c r="A1463" s="1"/>
      <c r="B1463" s="1"/>
      <c r="C1463" s="1"/>
      <c r="D1463" s="1"/>
      <c r="E1463" s="1"/>
      <c r="F1463" s="1"/>
      <c r="H1463" s="1"/>
      <c r="I1463" s="1"/>
      <c r="J1463" s="1"/>
      <c r="O1463" s="1"/>
    </row>
    <row r="1464" spans="1:16" ht="15.75" customHeight="1">
      <c r="A1464" s="1"/>
      <c r="B1464" s="1"/>
      <c r="C1464" s="1"/>
      <c r="D1464" s="1"/>
      <c r="E1464" s="1"/>
      <c r="F1464" s="1"/>
      <c r="H1464" s="1"/>
      <c r="I1464" s="1"/>
      <c r="K1464" s="1"/>
      <c r="O1464" s="1"/>
    </row>
    <row r="1465" spans="1:16" ht="15.75" customHeight="1">
      <c r="A1465" s="1"/>
      <c r="B1465" s="1"/>
      <c r="C1465" s="1"/>
      <c r="D1465" s="1"/>
      <c r="E1465" s="1"/>
      <c r="F1465" s="1"/>
      <c r="G1465" s="1"/>
      <c r="H1465" s="1"/>
      <c r="I1465" s="1"/>
      <c r="J1465" s="1"/>
      <c r="K1465" s="1"/>
    </row>
    <row r="1466" spans="1:16" ht="15.75" customHeight="1">
      <c r="A1466" s="1"/>
      <c r="B1466" s="1"/>
      <c r="C1466" s="1"/>
      <c r="D1466" s="1"/>
      <c r="E1466" s="1"/>
      <c r="F1466" s="1"/>
      <c r="G1466" s="1"/>
      <c r="H1466" s="1"/>
      <c r="I1466" s="1"/>
      <c r="J1466" s="1"/>
      <c r="K1466" s="1"/>
      <c r="L1466" s="1"/>
      <c r="M1466" s="1"/>
      <c r="N1466" s="1"/>
      <c r="O1466" s="1"/>
      <c r="P1466" s="5"/>
    </row>
    <row r="1467" spans="1:16" ht="15.75" customHeight="1">
      <c r="A1467" s="1"/>
      <c r="B1467" s="1"/>
      <c r="C1467" s="1"/>
      <c r="D1467" s="1"/>
      <c r="E1467" s="1"/>
      <c r="F1467" s="1"/>
      <c r="H1467" s="1"/>
      <c r="I1467" s="1"/>
      <c r="J1467" s="1"/>
      <c r="O1467" s="1"/>
    </row>
    <row r="1468" spans="1:16" ht="15.75" customHeight="1">
      <c r="A1468" s="1"/>
      <c r="B1468" s="1"/>
      <c r="C1468" s="1"/>
      <c r="D1468" s="1"/>
      <c r="E1468" s="1"/>
      <c r="F1468" s="1"/>
      <c r="H1468" s="1"/>
      <c r="I1468" s="1"/>
      <c r="J1468" s="1"/>
      <c r="O1468" s="1"/>
    </row>
    <row r="1469" spans="1:16" ht="15.75" customHeight="1">
      <c r="A1469" s="1"/>
      <c r="B1469" s="1"/>
      <c r="C1469" s="1"/>
      <c r="D1469" s="1"/>
      <c r="E1469" s="1"/>
      <c r="F1469" s="2"/>
      <c r="H1469" s="1"/>
      <c r="I1469" s="1"/>
      <c r="J1469" s="1"/>
      <c r="K1469" s="1"/>
      <c r="O1469" s="1"/>
    </row>
    <row r="1470" spans="1:16" ht="15.75" customHeight="1">
      <c r="A1470" s="1"/>
      <c r="B1470" s="1"/>
      <c r="C1470" s="1"/>
      <c r="D1470" s="1"/>
      <c r="E1470" s="1"/>
      <c r="F1470" s="1"/>
      <c r="H1470" s="1"/>
      <c r="I1470" s="1"/>
      <c r="J1470" s="1"/>
      <c r="K1470" s="1"/>
      <c r="O1470" s="1"/>
    </row>
    <row r="1471" spans="1:16" ht="15.75" customHeight="1">
      <c r="A1471" s="1"/>
      <c r="B1471" s="1"/>
      <c r="C1471" s="1"/>
      <c r="D1471" s="1"/>
      <c r="E1471" s="1"/>
      <c r="F1471" s="1"/>
      <c r="H1471" s="1"/>
      <c r="I1471" s="1"/>
      <c r="J1471" s="1"/>
      <c r="K1471" s="1"/>
      <c r="O1471" s="1"/>
    </row>
    <row r="1472" spans="1:16" ht="15.75" customHeight="1">
      <c r="A1472" s="1"/>
      <c r="B1472" s="1"/>
      <c r="C1472" s="1"/>
      <c r="D1472" s="1"/>
      <c r="E1472" s="1"/>
      <c r="F1472" s="1"/>
      <c r="H1472" s="1"/>
      <c r="I1472" s="1"/>
      <c r="J1472" s="1"/>
      <c r="O1472" s="1"/>
    </row>
    <row r="1473" spans="1:16" ht="15.75" customHeight="1">
      <c r="A1473" s="1"/>
      <c r="B1473" s="1"/>
      <c r="C1473" s="1"/>
      <c r="D1473" s="1"/>
      <c r="E1473" s="1"/>
      <c r="F1473" s="1"/>
      <c r="H1473" s="1"/>
      <c r="I1473" s="1"/>
      <c r="J1473" s="1"/>
      <c r="O1473" s="1"/>
    </row>
    <row r="1474" spans="1:16" ht="15.75" customHeight="1">
      <c r="A1474" s="1"/>
      <c r="B1474" s="1"/>
      <c r="C1474" s="1"/>
      <c r="D1474" s="1"/>
      <c r="E1474" s="1"/>
      <c r="F1474" s="1"/>
      <c r="H1474" s="1"/>
      <c r="I1474" s="1"/>
      <c r="J1474" s="1"/>
      <c r="O1474" s="1"/>
    </row>
    <row r="1475" spans="1:16" ht="15.75" customHeight="1">
      <c r="A1475" s="1"/>
      <c r="B1475" s="1"/>
      <c r="C1475" s="1"/>
      <c r="D1475" s="1"/>
      <c r="E1475" s="1"/>
      <c r="F1475" s="1"/>
      <c r="G1475" s="1"/>
      <c r="H1475" s="1"/>
      <c r="I1475" s="1"/>
      <c r="J1475" s="1"/>
      <c r="O1475" s="1"/>
    </row>
    <row r="1476" spans="1:16" ht="15.75" customHeight="1">
      <c r="A1476" s="1"/>
      <c r="B1476" s="1"/>
      <c r="C1476" s="1"/>
      <c r="D1476" s="1"/>
      <c r="E1476" s="1"/>
      <c r="F1476" s="1"/>
      <c r="G1476" s="1"/>
      <c r="H1476" s="1"/>
      <c r="I1476" s="1"/>
      <c r="J1476" s="1"/>
      <c r="O1476" s="1"/>
    </row>
    <row r="1477" spans="1:16" ht="15.75" customHeight="1">
      <c r="A1477" s="1"/>
      <c r="B1477" s="1"/>
      <c r="C1477" s="1"/>
      <c r="D1477" s="1"/>
      <c r="E1477" s="1"/>
      <c r="F1477" s="1"/>
      <c r="H1477" s="1"/>
      <c r="I1477" s="1"/>
      <c r="J1477" s="1"/>
      <c r="K1477" s="1"/>
      <c r="O1477" s="1"/>
    </row>
    <row r="1478" spans="1:16" ht="15.75" customHeight="1">
      <c r="A1478" s="1"/>
      <c r="B1478" s="1"/>
      <c r="C1478" s="1"/>
      <c r="D1478" s="1"/>
      <c r="E1478" s="1"/>
      <c r="F1478" s="1"/>
      <c r="H1478" s="1"/>
      <c r="I1478" s="1"/>
      <c r="O1478" s="1"/>
    </row>
    <row r="1479" spans="1:16" ht="15.75" customHeight="1">
      <c r="A1479" s="1"/>
      <c r="B1479" s="1"/>
      <c r="C1479" s="1"/>
      <c r="D1479" s="1"/>
      <c r="E1479" s="1"/>
      <c r="F1479" s="1"/>
      <c r="G1479" s="1"/>
      <c r="H1479" s="1"/>
      <c r="I1479" s="1"/>
      <c r="J1479" s="1"/>
      <c r="K1479" s="1"/>
    </row>
    <row r="1480" spans="1:16" ht="15.75" customHeight="1">
      <c r="A1480" s="1"/>
      <c r="B1480" s="1"/>
      <c r="C1480" s="1"/>
      <c r="D1480" s="1"/>
      <c r="E1480" s="1"/>
      <c r="F1480" s="1"/>
      <c r="G1480" s="1"/>
      <c r="H1480" s="1"/>
      <c r="I1480" s="1"/>
      <c r="J1480" s="1"/>
      <c r="K1480" s="1"/>
    </row>
    <row r="1481" spans="1:16" ht="15.75" customHeight="1">
      <c r="A1481" s="1"/>
      <c r="B1481" s="1"/>
      <c r="C1481" s="1"/>
      <c r="D1481" s="1"/>
      <c r="E1481" s="1"/>
      <c r="F1481" s="1"/>
      <c r="H1481" s="1"/>
      <c r="I1481" s="1"/>
      <c r="J1481" s="1"/>
      <c r="O1481" s="1"/>
    </row>
    <row r="1482" spans="1:16" ht="15.75" customHeight="1">
      <c r="A1482" s="1"/>
      <c r="B1482" s="1"/>
      <c r="C1482" s="1"/>
      <c r="D1482" s="1"/>
      <c r="E1482" s="1"/>
      <c r="F1482" s="1"/>
      <c r="H1482" s="1"/>
      <c r="I1482" s="1"/>
      <c r="J1482" s="1"/>
      <c r="K1482" s="1"/>
      <c r="O1482" s="1"/>
    </row>
    <row r="1483" spans="1:16" ht="15.75" customHeight="1">
      <c r="A1483" s="1"/>
      <c r="B1483" s="1"/>
      <c r="C1483" s="1"/>
      <c r="D1483" s="1"/>
      <c r="E1483" s="1"/>
      <c r="F1483" s="1"/>
      <c r="H1483" s="1"/>
      <c r="I1483" s="1"/>
      <c r="O1483" s="1"/>
    </row>
    <row r="1484" spans="1:16" ht="15.75" customHeight="1">
      <c r="A1484" s="1"/>
      <c r="B1484" s="1"/>
      <c r="C1484" s="1"/>
      <c r="D1484" s="1"/>
      <c r="E1484" s="1"/>
      <c r="F1484" s="1"/>
      <c r="G1484" s="1"/>
      <c r="H1484" s="1"/>
      <c r="I1484" s="1"/>
      <c r="J1484" s="1"/>
      <c r="K1484" s="1"/>
      <c r="L1484" s="1"/>
      <c r="M1484" s="1"/>
      <c r="N1484" s="1"/>
      <c r="O1484" s="1"/>
      <c r="P1484" s="1"/>
    </row>
    <row r="1485" spans="1:16" ht="15.75" customHeight="1">
      <c r="A1485" s="1"/>
      <c r="B1485" s="1"/>
      <c r="C1485" s="1"/>
      <c r="D1485" s="1"/>
      <c r="E1485" s="1"/>
      <c r="F1485" s="1"/>
      <c r="G1485" s="1"/>
      <c r="H1485" s="1"/>
      <c r="I1485" s="1"/>
      <c r="J1485" s="1"/>
      <c r="K1485" s="1"/>
      <c r="O1485" s="1"/>
    </row>
    <row r="1486" spans="1:16" ht="15.75" customHeight="1">
      <c r="A1486" s="1"/>
      <c r="B1486" s="1"/>
      <c r="C1486" s="1"/>
      <c r="D1486" s="1"/>
      <c r="E1486" s="1"/>
      <c r="F1486" s="1"/>
      <c r="G1486" s="1"/>
      <c r="H1486" s="1"/>
      <c r="I1486" s="1"/>
      <c r="J1486" s="1"/>
      <c r="K1486" s="1"/>
      <c r="O1486" s="1"/>
    </row>
    <row r="1487" spans="1:16" ht="15.75" customHeight="1">
      <c r="A1487" s="1"/>
      <c r="B1487" s="1"/>
      <c r="C1487" s="1"/>
      <c r="D1487" s="1"/>
      <c r="E1487" s="1"/>
      <c r="F1487" s="1"/>
      <c r="H1487" s="1"/>
      <c r="I1487" s="1"/>
      <c r="J1487" s="1"/>
      <c r="K1487" s="1"/>
      <c r="O1487" s="1"/>
    </row>
    <row r="1488" spans="1:16" ht="15.75" customHeight="1">
      <c r="A1488" s="1"/>
      <c r="B1488" s="1"/>
      <c r="C1488" s="1"/>
      <c r="D1488" s="1"/>
      <c r="E1488" s="1"/>
      <c r="F1488" s="1"/>
      <c r="H1488" s="1"/>
      <c r="I1488" s="1"/>
      <c r="J1488" s="1"/>
      <c r="O1488" s="1"/>
    </row>
    <row r="1489" spans="1:15" ht="15.75" customHeight="1">
      <c r="A1489" s="1"/>
      <c r="B1489" s="1"/>
      <c r="C1489" s="1"/>
      <c r="D1489" s="1"/>
      <c r="E1489" s="1"/>
      <c r="F1489" s="1"/>
      <c r="H1489" s="1"/>
      <c r="I1489" s="1"/>
      <c r="J1489" s="1"/>
      <c r="O1489" s="1"/>
    </row>
    <row r="1490" spans="1:15" ht="15.75" customHeight="1">
      <c r="A1490" s="1"/>
      <c r="B1490" s="1"/>
      <c r="C1490" s="1"/>
      <c r="D1490" s="1"/>
      <c r="F1490" s="1"/>
      <c r="H1490" s="1"/>
      <c r="I1490" s="1"/>
      <c r="J1490" s="1"/>
      <c r="O1490" s="1"/>
    </row>
    <row r="1491" spans="1:15" ht="15.75" customHeight="1">
      <c r="A1491" s="1"/>
      <c r="B1491" s="1"/>
      <c r="C1491" s="1"/>
      <c r="D1491" s="1"/>
      <c r="E1491" s="1"/>
      <c r="F1491" s="1"/>
      <c r="H1491" s="1"/>
      <c r="I1491" s="1"/>
      <c r="J1491" s="1"/>
      <c r="O1491" s="1"/>
    </row>
    <row r="1492" spans="1:15" ht="15.75" customHeight="1">
      <c r="A1492" s="1"/>
      <c r="B1492" s="1"/>
      <c r="C1492" s="1"/>
      <c r="D1492" s="1"/>
      <c r="E1492" s="1"/>
      <c r="F1492" s="1"/>
      <c r="H1492" s="1"/>
      <c r="I1492" s="1"/>
      <c r="J1492" s="1"/>
      <c r="O1492" s="1"/>
    </row>
    <row r="1493" spans="1:15" ht="15.75" customHeight="1">
      <c r="A1493" s="1"/>
      <c r="B1493" s="1"/>
      <c r="C1493" s="1"/>
      <c r="D1493" s="1"/>
      <c r="E1493" s="1"/>
      <c r="F1493" s="1"/>
      <c r="H1493" s="1"/>
      <c r="I1493" s="1"/>
      <c r="J1493" s="1"/>
      <c r="O1493" s="1"/>
    </row>
    <row r="1494" spans="1:15" ht="15.75" customHeight="1">
      <c r="A1494" s="1"/>
      <c r="B1494" s="1"/>
      <c r="C1494" s="1"/>
      <c r="D1494" s="1"/>
      <c r="F1494" s="1"/>
      <c r="H1494" s="1"/>
      <c r="I1494" s="1"/>
      <c r="J1494" s="1"/>
      <c r="O1494" s="1"/>
    </row>
    <row r="1495" spans="1:15" ht="15.75" customHeight="1">
      <c r="A1495" s="1"/>
      <c r="B1495" s="1"/>
      <c r="C1495" s="1"/>
      <c r="D1495" s="1"/>
      <c r="E1495" s="1"/>
      <c r="F1495" s="1"/>
      <c r="H1495" s="1"/>
      <c r="I1495" s="1"/>
      <c r="J1495" s="1"/>
      <c r="O1495" s="1"/>
    </row>
    <row r="1496" spans="1:15" ht="15.75" customHeight="1">
      <c r="A1496" s="1"/>
      <c r="B1496" s="1"/>
      <c r="C1496" s="1"/>
      <c r="D1496" s="1"/>
      <c r="E1496" s="1"/>
      <c r="F1496" s="1"/>
      <c r="H1496" s="1"/>
      <c r="I1496" s="1"/>
      <c r="J1496" s="1"/>
      <c r="O1496" s="1"/>
    </row>
    <row r="1497" spans="1:15" ht="15.75" customHeight="1">
      <c r="A1497" s="1"/>
      <c r="B1497" s="1"/>
      <c r="C1497" s="1"/>
      <c r="D1497" s="1"/>
      <c r="F1497" s="1"/>
      <c r="H1497" s="1"/>
      <c r="I1497" s="1"/>
      <c r="J1497" s="1"/>
      <c r="K1497" s="1"/>
      <c r="O1497" s="1"/>
    </row>
    <row r="1498" spans="1:15" ht="15.75" customHeight="1">
      <c r="A1498" s="1"/>
      <c r="B1498" s="1"/>
      <c r="C1498" s="1"/>
      <c r="D1498" s="1"/>
      <c r="E1498" s="1"/>
      <c r="F1498" s="1"/>
      <c r="H1498" s="1"/>
      <c r="I1498" s="1"/>
      <c r="J1498" s="1"/>
      <c r="O1498" s="1"/>
    </row>
    <row r="1499" spans="1:15" ht="15.75" customHeight="1">
      <c r="A1499" s="1"/>
      <c r="B1499" s="1"/>
      <c r="C1499" s="1"/>
      <c r="D1499" s="1"/>
      <c r="E1499" s="1"/>
      <c r="F1499" s="1"/>
      <c r="G1499" s="1"/>
      <c r="H1499" s="1"/>
      <c r="I1499" s="1"/>
      <c r="J1499" s="1"/>
      <c r="K1499" s="1"/>
      <c r="O1499" s="1"/>
    </row>
    <row r="1500" spans="1:15" ht="15.75" customHeight="1">
      <c r="A1500" s="1"/>
      <c r="B1500" s="1"/>
      <c r="C1500" s="1"/>
      <c r="D1500" s="1"/>
      <c r="E1500" s="1"/>
      <c r="F1500" s="1"/>
      <c r="G1500" s="1"/>
      <c r="H1500" s="1"/>
      <c r="I1500" s="1"/>
      <c r="J1500" s="1"/>
      <c r="K1500" s="1"/>
    </row>
    <row r="1501" spans="1:15" ht="15.75" customHeight="1">
      <c r="A1501" s="1"/>
      <c r="B1501" s="1"/>
      <c r="C1501" s="1"/>
      <c r="D1501" s="1"/>
      <c r="E1501" s="1"/>
      <c r="F1501" s="1"/>
      <c r="H1501" s="1"/>
      <c r="I1501" s="1"/>
      <c r="K1501" s="1"/>
      <c r="O1501" s="1"/>
    </row>
    <row r="1502" spans="1:15" ht="15.75" customHeight="1">
      <c r="A1502" s="1"/>
      <c r="B1502" s="1"/>
      <c r="C1502" s="1"/>
      <c r="D1502" s="1"/>
      <c r="E1502" s="1"/>
      <c r="F1502" s="1"/>
      <c r="G1502" s="1"/>
      <c r="H1502" s="1"/>
      <c r="I1502" s="1"/>
      <c r="K1502" s="1"/>
    </row>
    <row r="1503" spans="1:15" ht="15.75" customHeight="1">
      <c r="A1503" s="1"/>
      <c r="B1503" s="1"/>
      <c r="C1503" s="1"/>
      <c r="D1503" s="1"/>
      <c r="E1503" s="1"/>
      <c r="F1503" s="1"/>
      <c r="H1503" s="1"/>
      <c r="I1503" s="1"/>
      <c r="J1503" s="1"/>
      <c r="K1503" s="1"/>
      <c r="O1503" s="1"/>
    </row>
    <row r="1504" spans="1:15" ht="15.75" customHeight="1">
      <c r="A1504" s="1"/>
      <c r="B1504" s="1"/>
      <c r="C1504" s="1"/>
      <c r="D1504" s="1"/>
      <c r="E1504" s="1"/>
      <c r="F1504" s="1"/>
      <c r="H1504" s="1"/>
      <c r="I1504" s="1"/>
      <c r="K1504" s="1"/>
    </row>
    <row r="1505" spans="1:15" ht="15.75" customHeight="1">
      <c r="A1505" s="1"/>
      <c r="B1505" s="1"/>
      <c r="C1505" s="1"/>
      <c r="D1505" s="1"/>
      <c r="E1505" s="1"/>
      <c r="F1505" s="1"/>
      <c r="G1505" s="1"/>
      <c r="H1505" s="1"/>
      <c r="I1505" s="1"/>
      <c r="J1505" s="1"/>
      <c r="K1505" s="1"/>
      <c r="O1505" s="1"/>
    </row>
    <row r="1506" spans="1:15" ht="15.75" customHeight="1">
      <c r="A1506" s="1"/>
      <c r="B1506" s="1"/>
      <c r="C1506" s="1"/>
      <c r="D1506" s="1"/>
      <c r="E1506" s="1"/>
      <c r="F1506" s="1"/>
      <c r="G1506" s="1"/>
      <c r="H1506" s="1"/>
      <c r="I1506" s="1"/>
      <c r="J1506" s="1"/>
      <c r="K1506" s="1"/>
      <c r="O1506" s="1"/>
    </row>
    <row r="1507" spans="1:15" ht="15.75" customHeight="1">
      <c r="A1507" s="1"/>
      <c r="B1507" s="1"/>
      <c r="C1507" s="1"/>
      <c r="D1507" s="1"/>
      <c r="E1507" s="1"/>
      <c r="F1507" s="1"/>
      <c r="H1507" s="1"/>
      <c r="I1507" s="1"/>
      <c r="J1507" s="1"/>
      <c r="K1507" s="1"/>
      <c r="O1507" s="1"/>
    </row>
    <row r="1508" spans="1:15" ht="15.75" customHeight="1">
      <c r="A1508" s="1"/>
      <c r="B1508" s="1"/>
      <c r="C1508" s="1"/>
      <c r="D1508" s="1"/>
      <c r="E1508" s="1"/>
      <c r="F1508" s="1"/>
      <c r="H1508" s="1"/>
      <c r="I1508" s="1"/>
      <c r="J1508" s="1"/>
      <c r="K1508" s="1"/>
      <c r="O1508" s="1"/>
    </row>
    <row r="1509" spans="1:15" ht="15.75" customHeight="1">
      <c r="A1509" s="1"/>
      <c r="B1509" s="1"/>
      <c r="C1509" s="1"/>
      <c r="D1509" s="1"/>
      <c r="E1509" s="1"/>
      <c r="F1509" s="1"/>
      <c r="H1509" s="1"/>
      <c r="I1509" s="1"/>
      <c r="K1509" s="1"/>
      <c r="O1509" s="1"/>
    </row>
    <row r="1510" spans="1:15" ht="15.75" customHeight="1">
      <c r="A1510" s="1"/>
      <c r="B1510" s="1"/>
      <c r="C1510" s="1"/>
      <c r="D1510" s="1"/>
      <c r="E1510" s="1"/>
      <c r="F1510" s="1"/>
      <c r="H1510" s="1"/>
      <c r="I1510" s="1"/>
      <c r="J1510" s="1"/>
      <c r="K1510" s="1"/>
      <c r="O1510" s="1"/>
    </row>
    <row r="1511" spans="1:15" ht="15.75" customHeight="1">
      <c r="A1511" s="1"/>
      <c r="B1511" s="1"/>
      <c r="C1511" s="1"/>
      <c r="D1511" s="1"/>
      <c r="E1511" s="1"/>
      <c r="F1511" s="1"/>
      <c r="G1511" s="1"/>
      <c r="H1511" s="1"/>
      <c r="I1511" s="1"/>
      <c r="J1511" s="1"/>
      <c r="O1511" s="1"/>
    </row>
    <row r="1512" spans="1:15" ht="15.75" customHeight="1">
      <c r="A1512" s="1"/>
      <c r="B1512" s="1"/>
      <c r="C1512" s="1"/>
      <c r="D1512" s="1"/>
      <c r="E1512" s="1"/>
      <c r="F1512" s="1"/>
      <c r="G1512" s="1"/>
      <c r="H1512" s="1"/>
      <c r="I1512" s="1"/>
      <c r="J1512" s="1"/>
      <c r="K1512" s="1"/>
    </row>
    <row r="1513" spans="1:15" ht="15.75" customHeight="1">
      <c r="A1513" s="1"/>
      <c r="B1513" s="1"/>
      <c r="C1513" s="1"/>
      <c r="D1513" s="1"/>
      <c r="E1513" s="1"/>
      <c r="F1513" s="1"/>
      <c r="G1513" s="1"/>
      <c r="H1513" s="1"/>
      <c r="I1513" s="1"/>
      <c r="J1513" s="1"/>
      <c r="K1513" s="1"/>
    </row>
    <row r="1514" spans="1:15" ht="15.75" customHeight="1">
      <c r="A1514" s="1"/>
      <c r="B1514" s="1"/>
      <c r="C1514" s="1"/>
      <c r="D1514" s="1"/>
      <c r="E1514" s="1"/>
      <c r="F1514" s="1"/>
      <c r="H1514" s="1"/>
      <c r="I1514" s="1"/>
      <c r="J1514" s="1"/>
      <c r="K1514" s="1"/>
      <c r="O1514" s="1"/>
    </row>
    <row r="1515" spans="1:15" ht="15.75" customHeight="1">
      <c r="A1515" s="1"/>
      <c r="B1515" s="1"/>
      <c r="C1515" s="1"/>
      <c r="D1515" s="1"/>
      <c r="E1515" s="1"/>
      <c r="F1515" s="1"/>
      <c r="H1515" s="1"/>
      <c r="I1515" s="1"/>
      <c r="J1515" s="1"/>
      <c r="K1515" s="1"/>
      <c r="O1515" s="1"/>
    </row>
    <row r="1516" spans="1:15" ht="15.75" customHeight="1">
      <c r="A1516" s="1"/>
      <c r="B1516" s="1"/>
      <c r="C1516" s="1"/>
      <c r="D1516" s="1"/>
      <c r="E1516" s="1"/>
      <c r="F1516" s="1"/>
      <c r="H1516" s="1"/>
      <c r="I1516" s="1"/>
      <c r="J1516" s="1"/>
      <c r="K1516" s="1"/>
      <c r="O1516" s="1"/>
    </row>
    <row r="1517" spans="1:15" ht="15.75" customHeight="1">
      <c r="A1517" s="1"/>
      <c r="B1517" s="1"/>
      <c r="C1517" s="1"/>
      <c r="D1517" s="1"/>
      <c r="E1517" s="1"/>
      <c r="F1517" s="1"/>
      <c r="H1517" s="1"/>
      <c r="I1517" s="1"/>
      <c r="J1517" s="1"/>
      <c r="K1517" s="1"/>
      <c r="O1517" s="1"/>
    </row>
    <row r="1518" spans="1:15" ht="15.75" customHeight="1">
      <c r="A1518" s="1"/>
      <c r="B1518" s="1"/>
      <c r="C1518" s="1"/>
      <c r="D1518" s="1"/>
      <c r="E1518" s="1"/>
      <c r="F1518" s="1"/>
      <c r="H1518" s="1"/>
      <c r="I1518" s="1"/>
      <c r="J1518" s="1"/>
      <c r="K1518" s="1"/>
      <c r="O1518" s="1"/>
    </row>
    <row r="1519" spans="1:15" ht="15.75" customHeight="1">
      <c r="A1519" s="1"/>
      <c r="B1519" s="1"/>
      <c r="C1519" s="1"/>
      <c r="D1519" s="1"/>
      <c r="E1519" s="1"/>
      <c r="F1519" s="1"/>
      <c r="H1519" s="1"/>
      <c r="I1519" s="1"/>
      <c r="J1519" s="1"/>
      <c r="K1519" s="1"/>
      <c r="O1519" s="1"/>
    </row>
    <row r="1520" spans="1:15" ht="15.75" customHeight="1">
      <c r="A1520" s="1"/>
      <c r="B1520" s="1"/>
      <c r="C1520" s="1"/>
      <c r="D1520" s="1"/>
      <c r="E1520" s="1"/>
      <c r="F1520" s="1"/>
      <c r="H1520" s="1"/>
      <c r="I1520" s="1"/>
      <c r="J1520" s="1"/>
      <c r="K1520" s="1"/>
      <c r="O1520" s="1"/>
    </row>
    <row r="1521" spans="1:16" ht="15.75" customHeight="1">
      <c r="A1521" s="1"/>
      <c r="B1521" s="1"/>
      <c r="C1521" s="1"/>
      <c r="D1521" s="1"/>
      <c r="E1521" s="1"/>
      <c r="F1521" s="1"/>
      <c r="H1521" s="1"/>
      <c r="I1521" s="1"/>
      <c r="J1521" s="1"/>
      <c r="K1521" s="1"/>
      <c r="O1521" s="1"/>
    </row>
    <row r="1522" spans="1:16" ht="15.75" customHeight="1">
      <c r="A1522" s="1"/>
      <c r="B1522" s="1"/>
      <c r="C1522" s="1"/>
      <c r="D1522" s="1"/>
      <c r="E1522" s="1"/>
      <c r="F1522" s="1"/>
      <c r="H1522" s="1"/>
      <c r="I1522" s="1"/>
      <c r="J1522" s="1"/>
      <c r="K1522" s="1"/>
      <c r="O1522" s="1"/>
    </row>
    <row r="1523" spans="1:16" ht="15.75" customHeight="1">
      <c r="A1523" s="1"/>
      <c r="B1523" s="1"/>
      <c r="C1523" s="1"/>
      <c r="D1523" s="1"/>
      <c r="E1523" s="1"/>
      <c r="F1523" s="1"/>
      <c r="H1523" s="1"/>
      <c r="I1523" s="1"/>
      <c r="J1523" s="1"/>
      <c r="K1523" s="1"/>
      <c r="O1523" s="1"/>
    </row>
    <row r="1524" spans="1:16" ht="15.75" customHeight="1">
      <c r="A1524" s="1"/>
      <c r="B1524" s="1"/>
      <c r="C1524" s="1"/>
      <c r="D1524" s="1"/>
      <c r="E1524" s="1"/>
      <c r="F1524" s="1"/>
      <c r="H1524" s="1"/>
      <c r="I1524" s="1"/>
      <c r="J1524" s="1"/>
      <c r="K1524" s="1"/>
      <c r="O1524" s="1"/>
    </row>
    <row r="1525" spans="1:16" ht="15.75" customHeight="1">
      <c r="A1525" s="1"/>
      <c r="B1525" s="1"/>
      <c r="C1525" s="1"/>
      <c r="D1525" s="1"/>
      <c r="E1525" s="1"/>
      <c r="F1525" s="1"/>
      <c r="H1525" s="1"/>
      <c r="I1525" s="1"/>
      <c r="J1525" s="1"/>
      <c r="K1525" s="1"/>
      <c r="O1525" s="1"/>
    </row>
    <row r="1526" spans="1:16" ht="15.75" customHeight="1">
      <c r="A1526" s="1"/>
      <c r="B1526" s="1"/>
      <c r="C1526" s="1"/>
      <c r="D1526" s="1"/>
      <c r="E1526" s="1"/>
      <c r="F1526" s="1"/>
      <c r="H1526" s="1"/>
      <c r="I1526" s="1"/>
      <c r="J1526" s="1"/>
      <c r="K1526" s="1"/>
      <c r="O1526" s="1"/>
    </row>
    <row r="1527" spans="1:16" ht="15.75" customHeight="1">
      <c r="A1527" s="1"/>
      <c r="B1527" s="1"/>
      <c r="C1527" s="1"/>
      <c r="D1527" s="1"/>
      <c r="E1527" s="1"/>
      <c r="F1527" s="1"/>
      <c r="H1527" s="1"/>
      <c r="I1527" s="1"/>
      <c r="J1527" s="1"/>
      <c r="K1527" s="1"/>
      <c r="O1527" s="1"/>
    </row>
    <row r="1528" spans="1:16" ht="15.75" customHeight="1">
      <c r="A1528" s="1"/>
      <c r="B1528" s="1"/>
      <c r="C1528" s="1"/>
      <c r="D1528" s="1"/>
      <c r="E1528" s="1"/>
      <c r="F1528" s="1"/>
      <c r="H1528" s="1"/>
      <c r="I1528" s="1"/>
      <c r="J1528" s="1"/>
      <c r="K1528" s="1"/>
      <c r="O1528" s="1"/>
    </row>
    <row r="1529" spans="1:16" ht="15.75" customHeight="1">
      <c r="A1529" s="1"/>
      <c r="B1529" s="1"/>
      <c r="C1529" s="1"/>
      <c r="D1529" s="1"/>
      <c r="E1529" s="1"/>
      <c r="F1529" s="1"/>
      <c r="H1529" s="1"/>
      <c r="I1529" s="1"/>
      <c r="J1529" s="1"/>
      <c r="K1529" s="1"/>
      <c r="O1529" s="1"/>
    </row>
    <row r="1530" spans="1:16" ht="15.75" customHeight="1">
      <c r="A1530" s="1"/>
      <c r="B1530" s="1"/>
      <c r="C1530" s="1"/>
      <c r="D1530" s="1"/>
      <c r="E1530" s="1"/>
      <c r="F1530" s="1"/>
      <c r="H1530" s="1"/>
      <c r="I1530" s="1"/>
      <c r="J1530" s="1"/>
      <c r="K1530" s="1"/>
      <c r="O1530" s="1"/>
    </row>
    <row r="1531" spans="1:16" ht="15.75" customHeight="1">
      <c r="A1531" s="1"/>
      <c r="B1531" s="1"/>
      <c r="C1531" s="1"/>
      <c r="D1531" s="1"/>
      <c r="E1531" s="1"/>
      <c r="F1531" s="1"/>
      <c r="H1531" s="1"/>
      <c r="I1531" s="1"/>
      <c r="J1531" s="1"/>
      <c r="K1531" s="1"/>
      <c r="O1531" s="1"/>
    </row>
    <row r="1532" spans="1:16" ht="15.75" customHeight="1">
      <c r="A1532" s="1"/>
      <c r="B1532" s="1"/>
      <c r="C1532" s="1"/>
      <c r="D1532" s="1"/>
      <c r="E1532" s="1"/>
      <c r="F1532" s="1"/>
      <c r="H1532" s="1"/>
      <c r="I1532" s="1"/>
      <c r="J1532" s="1"/>
      <c r="O1532" s="1"/>
    </row>
    <row r="1533" spans="1:16" ht="15.75" customHeight="1">
      <c r="A1533" s="1"/>
      <c r="B1533" s="1"/>
      <c r="C1533" s="1"/>
      <c r="D1533" s="1"/>
      <c r="E1533" s="1"/>
      <c r="F1533" s="1"/>
      <c r="H1533" s="1"/>
      <c r="I1533" s="1"/>
      <c r="O1533" s="1"/>
    </row>
    <row r="1534" spans="1:16" ht="15.75" customHeight="1">
      <c r="A1534" s="1"/>
      <c r="B1534" s="1"/>
      <c r="C1534" s="1"/>
      <c r="D1534" s="1"/>
      <c r="E1534" s="1"/>
      <c r="F1534" s="1"/>
      <c r="H1534" s="1"/>
      <c r="I1534" s="1"/>
      <c r="J1534" s="1"/>
      <c r="K1534" s="1"/>
      <c r="O1534" s="1"/>
    </row>
    <row r="1535" spans="1:16" ht="15.75" customHeight="1">
      <c r="A1535" s="1"/>
      <c r="B1535" s="1"/>
      <c r="C1535" s="1"/>
      <c r="D1535" s="1"/>
      <c r="E1535" s="1"/>
      <c r="F1535" s="1"/>
      <c r="G1535" s="1"/>
      <c r="H1535" s="1"/>
      <c r="I1535" s="1"/>
      <c r="J1535" s="1"/>
      <c r="K1535" s="1"/>
      <c r="O1535" s="1"/>
    </row>
    <row r="1536" spans="1:16" ht="15.75" customHeight="1">
      <c r="A1536" s="1"/>
      <c r="B1536" s="1"/>
      <c r="C1536" s="1"/>
      <c r="D1536" s="1"/>
      <c r="E1536" s="1"/>
      <c r="F1536" s="1"/>
      <c r="G1536" s="1"/>
      <c r="H1536" s="1"/>
      <c r="I1536" s="1"/>
      <c r="J1536" s="1"/>
      <c r="K1536" s="1"/>
      <c r="L1536" s="1"/>
      <c r="M1536" s="1"/>
      <c r="N1536" s="1"/>
      <c r="O1536" s="1"/>
      <c r="P1536" s="5"/>
    </row>
    <row r="1537" spans="1:16" ht="15.75" customHeight="1">
      <c r="A1537" s="1"/>
      <c r="B1537" s="1"/>
      <c r="C1537" s="1"/>
      <c r="D1537" s="1"/>
      <c r="E1537" s="1"/>
      <c r="F1537" s="1"/>
      <c r="H1537" s="1"/>
      <c r="I1537" s="1"/>
      <c r="J1537" s="1"/>
      <c r="O1537" s="1"/>
    </row>
    <row r="1538" spans="1:16" ht="15.75" customHeight="1">
      <c r="A1538" s="1"/>
      <c r="B1538" s="1"/>
      <c r="C1538" s="1"/>
      <c r="D1538" s="1"/>
      <c r="E1538" s="1"/>
      <c r="F1538" s="1"/>
      <c r="H1538" s="1"/>
      <c r="I1538" s="1"/>
      <c r="J1538" s="1"/>
      <c r="K1538" s="1"/>
      <c r="O1538" s="1"/>
    </row>
    <row r="1539" spans="1:16" ht="15.75" customHeight="1">
      <c r="A1539" s="1"/>
      <c r="B1539" s="1"/>
      <c r="C1539" s="1"/>
      <c r="D1539" s="1"/>
      <c r="E1539" s="1"/>
      <c r="F1539" s="1"/>
      <c r="H1539" s="1"/>
      <c r="I1539" s="1"/>
      <c r="J1539" s="1"/>
      <c r="K1539" s="1"/>
      <c r="O1539" s="1"/>
    </row>
    <row r="1540" spans="1:16" ht="15.75" customHeight="1">
      <c r="A1540" s="1"/>
      <c r="B1540" s="1"/>
      <c r="C1540" s="1"/>
      <c r="D1540" s="1"/>
      <c r="E1540" s="1"/>
      <c r="F1540" s="1"/>
      <c r="H1540" s="1"/>
      <c r="I1540" s="1"/>
      <c r="J1540" s="1"/>
      <c r="K1540" s="1"/>
      <c r="O1540" s="1"/>
    </row>
    <row r="1541" spans="1:16" ht="15.75" customHeight="1">
      <c r="A1541" s="1"/>
      <c r="B1541" s="1"/>
      <c r="C1541" s="1"/>
      <c r="D1541" s="1"/>
      <c r="E1541" s="1"/>
      <c r="F1541" s="1"/>
      <c r="H1541" s="1"/>
      <c r="I1541" s="1"/>
      <c r="J1541" s="1"/>
      <c r="K1541" s="1"/>
      <c r="O1541" s="1"/>
    </row>
    <row r="1542" spans="1:16" ht="15.75" customHeight="1">
      <c r="A1542" s="1"/>
      <c r="B1542" s="1"/>
      <c r="C1542" s="1"/>
      <c r="D1542" s="1"/>
      <c r="E1542" s="1"/>
      <c r="F1542" s="1"/>
      <c r="G1542" s="1"/>
      <c r="H1542" s="1"/>
      <c r="I1542" s="1"/>
      <c r="J1542" s="1"/>
      <c r="K1542" s="1"/>
      <c r="L1542" s="1"/>
      <c r="M1542" s="1"/>
      <c r="N1542" s="1"/>
      <c r="O1542" s="1"/>
      <c r="P1542" s="5"/>
    </row>
    <row r="1543" spans="1:16" ht="15.75" customHeight="1">
      <c r="A1543" s="1"/>
      <c r="B1543" s="1"/>
      <c r="C1543" s="1"/>
      <c r="D1543" s="1"/>
      <c r="E1543" s="1"/>
      <c r="F1543" s="1"/>
      <c r="G1543" s="1"/>
      <c r="H1543" s="1"/>
      <c r="I1543" s="1"/>
      <c r="J1543" s="1"/>
      <c r="K1543" s="1"/>
      <c r="L1543" s="1"/>
      <c r="M1543" s="1"/>
      <c r="N1543" s="1"/>
      <c r="O1543" s="1"/>
      <c r="P1543" s="5"/>
    </row>
    <row r="1544" spans="1:16" ht="15.75" customHeight="1">
      <c r="A1544" s="1"/>
      <c r="B1544" s="1"/>
      <c r="C1544" s="1"/>
      <c r="D1544" s="1"/>
      <c r="E1544" s="1"/>
      <c r="F1544" s="1"/>
      <c r="G1544" s="1"/>
      <c r="H1544" s="1"/>
      <c r="I1544" s="1"/>
      <c r="J1544" s="1"/>
      <c r="K1544" s="1"/>
      <c r="L1544" s="1"/>
      <c r="M1544" s="1"/>
      <c r="N1544" s="1"/>
      <c r="O1544" s="1"/>
      <c r="P1544" s="5"/>
    </row>
    <row r="1545" spans="1:16" ht="15.75" customHeight="1">
      <c r="A1545" s="1"/>
      <c r="B1545" s="1"/>
      <c r="C1545" s="1"/>
      <c r="D1545" s="1"/>
      <c r="E1545" s="1"/>
      <c r="F1545" s="1"/>
      <c r="H1545" s="1"/>
      <c r="I1545" s="1"/>
      <c r="J1545" s="1"/>
      <c r="K1545" s="1"/>
      <c r="O1545" s="1"/>
    </row>
    <row r="1546" spans="1:16" ht="15.75" customHeight="1">
      <c r="A1546" s="1"/>
      <c r="B1546" s="1"/>
      <c r="C1546" s="2"/>
      <c r="D1546" s="1"/>
      <c r="E1546" s="1"/>
      <c r="F1546" s="1"/>
      <c r="H1546" s="1"/>
      <c r="I1546" s="1"/>
      <c r="J1546" s="1"/>
      <c r="K1546" s="1"/>
      <c r="O1546" s="1"/>
    </row>
    <row r="1547" spans="1:16" ht="15.75" customHeight="1">
      <c r="A1547" s="1"/>
      <c r="B1547" s="1"/>
      <c r="C1547" s="1"/>
      <c r="D1547" s="1"/>
      <c r="E1547" s="1"/>
      <c r="F1547" s="1"/>
      <c r="G1547" s="1"/>
      <c r="H1547" s="1"/>
      <c r="I1547" s="1"/>
      <c r="J1547" s="1"/>
      <c r="K1547" s="1"/>
      <c r="O1547" s="1"/>
    </row>
    <row r="1548" spans="1:16" ht="15.75" customHeight="1">
      <c r="A1548" s="1"/>
      <c r="B1548" s="1"/>
      <c r="C1548" s="1"/>
      <c r="D1548" s="1"/>
      <c r="E1548" s="1"/>
      <c r="F1548" s="1"/>
      <c r="H1548" s="1"/>
      <c r="I1548" s="1"/>
      <c r="J1548" s="1"/>
      <c r="K1548" s="1"/>
      <c r="O1548" s="1"/>
    </row>
    <row r="1549" spans="1:16" ht="15.75" customHeight="1">
      <c r="A1549" s="1"/>
      <c r="B1549" s="1"/>
      <c r="C1549" s="1"/>
      <c r="D1549" s="1"/>
      <c r="E1549" s="1"/>
      <c r="F1549" s="1"/>
      <c r="H1549" s="1"/>
      <c r="I1549" s="1"/>
      <c r="J1549" s="1"/>
      <c r="K1549" s="1"/>
    </row>
    <row r="1550" spans="1:16" ht="15.75" customHeight="1">
      <c r="A1550" s="1"/>
      <c r="B1550" s="1"/>
      <c r="C1550" s="1"/>
      <c r="D1550" s="1"/>
      <c r="E1550" s="1"/>
      <c r="F1550" s="1"/>
      <c r="G1550" s="1"/>
      <c r="H1550" s="1"/>
      <c r="I1550" s="1"/>
      <c r="J1550" s="1"/>
      <c r="O1550" s="1"/>
    </row>
    <row r="1551" spans="1:16" ht="15.75" customHeight="1">
      <c r="A1551" s="1"/>
      <c r="B1551" s="1"/>
      <c r="C1551" s="1"/>
      <c r="D1551" s="1"/>
      <c r="E1551" s="1"/>
      <c r="F1551" s="1"/>
      <c r="G1551" s="1"/>
      <c r="H1551" s="1"/>
      <c r="I1551" s="1"/>
      <c r="J1551" s="1"/>
      <c r="K1551" s="1"/>
      <c r="O1551" s="1"/>
    </row>
    <row r="1552" spans="1:16" ht="15.75" customHeight="1">
      <c r="A1552" s="1"/>
      <c r="B1552" s="1"/>
      <c r="C1552" s="1"/>
      <c r="D1552" s="1"/>
      <c r="E1552" s="1"/>
      <c r="F1552" s="1"/>
      <c r="G1552" s="1"/>
      <c r="H1552" s="1"/>
      <c r="I1552" s="1"/>
      <c r="J1552" s="1"/>
      <c r="O1552" s="1"/>
    </row>
    <row r="1553" spans="1:16" ht="15.75" customHeight="1">
      <c r="A1553" s="1"/>
      <c r="B1553" s="1"/>
      <c r="C1553" s="1"/>
      <c r="D1553" s="1"/>
      <c r="E1553" s="1"/>
      <c r="F1553" s="1"/>
      <c r="H1553" s="1"/>
      <c r="I1553" s="1"/>
      <c r="J1553" s="1"/>
      <c r="O1553" s="1"/>
    </row>
    <row r="1554" spans="1:16" ht="15.75" customHeight="1">
      <c r="A1554" s="1"/>
      <c r="B1554" s="1"/>
      <c r="C1554" s="1"/>
      <c r="D1554" s="1"/>
      <c r="E1554" s="1"/>
      <c r="F1554" s="1"/>
      <c r="G1554" s="1"/>
      <c r="H1554" s="1"/>
      <c r="I1554" s="1"/>
      <c r="J1554" s="1"/>
      <c r="O1554" s="1"/>
    </row>
    <row r="1555" spans="1:16" ht="15.75" customHeight="1">
      <c r="A1555" s="1"/>
      <c r="B1555" s="1"/>
      <c r="C1555" s="1"/>
      <c r="D1555" s="1"/>
      <c r="E1555" s="1"/>
      <c r="F1555" s="1"/>
      <c r="G1555" s="1"/>
      <c r="H1555" s="1"/>
      <c r="I1555" s="1"/>
      <c r="J1555" s="1"/>
      <c r="K1555" s="1"/>
    </row>
    <row r="1556" spans="1:16" ht="15.75" customHeight="1">
      <c r="A1556" s="1"/>
      <c r="B1556" s="1"/>
      <c r="C1556" s="1"/>
      <c r="D1556" s="1"/>
      <c r="E1556" s="1"/>
      <c r="F1556" s="1"/>
      <c r="G1556" s="1"/>
      <c r="H1556" s="1"/>
      <c r="I1556" s="1"/>
      <c r="J1556" s="1"/>
      <c r="K1556" s="1"/>
    </row>
    <row r="1557" spans="1:16" ht="15.75" customHeight="1">
      <c r="A1557" s="1"/>
      <c r="B1557" s="1"/>
      <c r="C1557" s="1"/>
      <c r="D1557" s="1"/>
      <c r="E1557" s="1"/>
      <c r="F1557" s="1"/>
      <c r="G1557" s="1"/>
      <c r="H1557" s="1"/>
      <c r="I1557" s="1"/>
      <c r="J1557" s="1"/>
      <c r="K1557" s="1"/>
      <c r="O1557" s="1"/>
    </row>
    <row r="1558" spans="1:16" ht="15.75" customHeight="1">
      <c r="A1558" s="1"/>
      <c r="B1558" s="1"/>
      <c r="C1558" s="1"/>
      <c r="D1558" s="1"/>
      <c r="E1558" s="1"/>
      <c r="F1558" s="1"/>
      <c r="H1558" s="1"/>
      <c r="I1558" s="1"/>
      <c r="J1558" s="1"/>
      <c r="K1558" s="1"/>
    </row>
    <row r="1559" spans="1:16" ht="15.75" customHeight="1">
      <c r="A1559" s="1"/>
      <c r="B1559" s="1"/>
      <c r="C1559" s="1"/>
      <c r="D1559" s="1"/>
      <c r="E1559" s="1"/>
      <c r="F1559" s="1"/>
      <c r="H1559" s="1"/>
      <c r="I1559" s="1"/>
      <c r="J1559" s="1"/>
      <c r="O1559" s="1"/>
    </row>
    <row r="1560" spans="1:16" ht="15.75" customHeight="1">
      <c r="A1560" s="1"/>
      <c r="B1560" s="1"/>
      <c r="C1560" s="1"/>
      <c r="D1560" s="1"/>
      <c r="E1560" s="1"/>
      <c r="F1560" s="1"/>
      <c r="G1560" s="1"/>
      <c r="H1560" s="1"/>
      <c r="I1560" s="1"/>
      <c r="J1560" s="1"/>
      <c r="K1560" s="1"/>
    </row>
    <row r="1561" spans="1:16" ht="15.75" customHeight="1">
      <c r="A1561" s="1"/>
      <c r="B1561" s="1"/>
      <c r="C1561" s="1"/>
      <c r="D1561" s="1"/>
      <c r="E1561" s="1"/>
      <c r="F1561" s="1"/>
      <c r="G1561" s="1"/>
      <c r="H1561" s="1"/>
      <c r="I1561" s="1"/>
      <c r="J1561" s="1"/>
      <c r="K1561" s="1"/>
      <c r="O1561" s="1"/>
    </row>
    <row r="1562" spans="1:16" ht="15.75" customHeight="1">
      <c r="A1562" s="1"/>
      <c r="B1562" s="1"/>
      <c r="C1562" s="1"/>
      <c r="D1562" s="1"/>
      <c r="E1562" s="1"/>
      <c r="F1562" s="1"/>
      <c r="H1562" s="1"/>
      <c r="I1562" s="1"/>
      <c r="J1562" s="1"/>
      <c r="O1562" s="1"/>
    </row>
    <row r="1563" spans="1:16" ht="15.75" customHeight="1">
      <c r="A1563" s="1"/>
      <c r="B1563" s="1"/>
      <c r="C1563" s="1"/>
      <c r="D1563" s="1"/>
      <c r="E1563" s="1"/>
      <c r="F1563" s="1"/>
      <c r="G1563" s="1"/>
      <c r="H1563" s="1"/>
      <c r="I1563" s="1"/>
      <c r="J1563" s="1"/>
      <c r="K1563" s="1"/>
      <c r="L1563" s="1"/>
      <c r="M1563" s="1"/>
      <c r="N1563" s="1"/>
      <c r="O1563" s="1"/>
      <c r="P1563" s="5"/>
    </row>
    <row r="1564" spans="1:16" ht="15.75" customHeight="1">
      <c r="A1564" s="1"/>
      <c r="B1564" s="1"/>
      <c r="C1564" s="1"/>
      <c r="D1564" s="1"/>
      <c r="E1564" s="1"/>
      <c r="F1564" s="1"/>
      <c r="H1564" s="1"/>
      <c r="I1564" s="1"/>
      <c r="J1564" s="1"/>
      <c r="O1564" s="1"/>
    </row>
    <row r="1565" spans="1:16" ht="15.75" customHeight="1">
      <c r="A1565" s="1"/>
      <c r="B1565" s="1"/>
      <c r="C1565" s="1"/>
      <c r="D1565" s="1"/>
      <c r="E1565" s="1"/>
      <c r="F1565" s="1"/>
      <c r="H1565" s="1"/>
      <c r="I1565" s="1"/>
      <c r="J1565" s="1"/>
      <c r="K1565" s="1"/>
    </row>
    <row r="1566" spans="1:16" ht="15.75" customHeight="1">
      <c r="A1566" s="1"/>
      <c r="B1566" s="1"/>
      <c r="C1566" s="1"/>
      <c r="D1566" s="1"/>
      <c r="E1566" s="1"/>
      <c r="F1566" s="1"/>
      <c r="G1566" s="1"/>
      <c r="H1566" s="1"/>
      <c r="I1566" s="1"/>
      <c r="K1566" s="1"/>
      <c r="O1566" s="1"/>
    </row>
    <row r="1567" spans="1:16" ht="15.75" customHeight="1">
      <c r="A1567" s="1"/>
      <c r="B1567" s="1"/>
      <c r="C1567" s="1"/>
      <c r="D1567" s="1"/>
      <c r="E1567" s="1"/>
      <c r="F1567" s="1"/>
      <c r="G1567" s="1"/>
      <c r="H1567" s="1"/>
      <c r="I1567" s="1"/>
      <c r="J1567" s="1"/>
      <c r="K1567" s="1"/>
      <c r="O1567" s="1"/>
    </row>
    <row r="1568" spans="1:16" ht="15.75" customHeight="1">
      <c r="A1568" s="1"/>
      <c r="B1568" s="1"/>
      <c r="C1568" s="1"/>
      <c r="D1568" s="1"/>
      <c r="E1568" s="1"/>
      <c r="F1568" s="1"/>
      <c r="G1568" s="1"/>
      <c r="H1568" s="1"/>
      <c r="I1568" s="1"/>
      <c r="J1568" s="1"/>
      <c r="K1568" s="1"/>
    </row>
    <row r="1569" spans="1:15" ht="15.75" customHeight="1">
      <c r="A1569" s="1"/>
      <c r="B1569" s="1"/>
      <c r="C1569" s="1"/>
      <c r="D1569" s="1"/>
      <c r="E1569" s="1"/>
      <c r="F1569" s="1"/>
      <c r="G1569" s="1"/>
      <c r="H1569" s="1"/>
      <c r="I1569" s="1"/>
      <c r="K1569" s="1"/>
      <c r="O1569" s="1"/>
    </row>
    <row r="1570" spans="1:15" ht="15.75" customHeight="1">
      <c r="A1570" s="1"/>
      <c r="B1570" s="1"/>
      <c r="C1570" s="1"/>
      <c r="D1570" s="1"/>
      <c r="E1570" s="1"/>
      <c r="F1570" s="1"/>
      <c r="H1570" s="1"/>
      <c r="I1570" s="1"/>
      <c r="J1570" s="1"/>
      <c r="O1570" s="1"/>
    </row>
    <row r="1571" spans="1:15" ht="15.75" customHeight="1">
      <c r="A1571" s="1"/>
      <c r="B1571" s="1"/>
      <c r="C1571" s="1"/>
      <c r="D1571" s="1"/>
      <c r="E1571" s="1"/>
      <c r="F1571" s="1"/>
      <c r="G1571" s="1"/>
      <c r="H1571" s="1"/>
      <c r="I1571" s="1"/>
      <c r="J1571" s="1"/>
      <c r="K1571" s="1"/>
    </row>
    <row r="1572" spans="1:15" ht="15.75" customHeight="1">
      <c r="A1572" s="1"/>
      <c r="B1572" s="1"/>
      <c r="C1572" s="1"/>
      <c r="D1572" s="1"/>
      <c r="E1572" s="1"/>
      <c r="F1572" s="1"/>
      <c r="H1572" s="1"/>
      <c r="I1572" s="1"/>
      <c r="J1572" s="1"/>
      <c r="K1572" s="1"/>
      <c r="O1572" s="1"/>
    </row>
    <row r="1573" spans="1:15" ht="15.75" customHeight="1">
      <c r="A1573" s="1"/>
      <c r="B1573" s="1"/>
      <c r="C1573" s="1"/>
      <c r="D1573" s="1"/>
      <c r="E1573" s="1"/>
      <c r="F1573" s="1"/>
      <c r="H1573" s="1"/>
      <c r="I1573" s="1"/>
      <c r="J1573" s="1"/>
      <c r="K1573" s="1"/>
      <c r="O1573" s="1"/>
    </row>
    <row r="1574" spans="1:15" ht="15.75" customHeight="1">
      <c r="A1574" s="1"/>
      <c r="B1574" s="1"/>
      <c r="C1574" s="1"/>
      <c r="D1574" s="1"/>
      <c r="E1574" s="1"/>
      <c r="F1574" s="1"/>
      <c r="G1574" s="1"/>
      <c r="H1574" s="1"/>
      <c r="I1574" s="1"/>
      <c r="J1574" s="1"/>
      <c r="O1574" s="1"/>
    </row>
    <row r="1575" spans="1:15" ht="15.75" customHeight="1">
      <c r="A1575" s="1"/>
      <c r="B1575" s="1"/>
      <c r="C1575" s="1"/>
      <c r="D1575" s="1"/>
      <c r="E1575" s="1"/>
      <c r="F1575" s="1"/>
      <c r="G1575" s="1"/>
      <c r="H1575" s="1"/>
      <c r="I1575" s="1"/>
      <c r="J1575" s="1"/>
      <c r="K1575" s="1"/>
    </row>
    <row r="1576" spans="1:15" ht="15.75" customHeight="1">
      <c r="A1576" s="1"/>
      <c r="B1576" s="1"/>
      <c r="C1576" s="1"/>
      <c r="D1576" s="1"/>
      <c r="E1576" s="1"/>
      <c r="F1576" s="1"/>
      <c r="G1576" s="1"/>
      <c r="H1576" s="1"/>
      <c r="I1576" s="1"/>
      <c r="J1576" s="1"/>
      <c r="K1576" s="1"/>
      <c r="O1576" s="1"/>
    </row>
    <row r="1577" spans="1:15" ht="15.75" customHeight="1">
      <c r="A1577" s="1"/>
      <c r="B1577" s="1"/>
      <c r="C1577" s="1"/>
      <c r="D1577" s="1"/>
      <c r="E1577" s="1"/>
      <c r="F1577" s="1"/>
      <c r="H1577" s="1"/>
      <c r="I1577" s="1"/>
      <c r="J1577" s="1"/>
      <c r="K1577" s="1"/>
      <c r="O1577" s="1"/>
    </row>
    <row r="1578" spans="1:15" ht="15.75" customHeight="1">
      <c r="A1578" s="1"/>
      <c r="B1578" s="1"/>
      <c r="C1578" s="1"/>
      <c r="D1578" s="1"/>
      <c r="E1578" s="1"/>
      <c r="F1578" s="1"/>
      <c r="H1578" s="1"/>
      <c r="I1578" s="1"/>
      <c r="J1578" s="1"/>
      <c r="O1578" s="1"/>
    </row>
    <row r="1579" spans="1:15" ht="15.75" customHeight="1">
      <c r="A1579" s="1"/>
      <c r="B1579" s="1"/>
      <c r="C1579" s="1"/>
      <c r="D1579" s="1"/>
      <c r="E1579" s="1"/>
      <c r="F1579" s="1"/>
      <c r="H1579" s="1"/>
      <c r="I1579" s="1"/>
      <c r="J1579" s="1"/>
      <c r="K1579" s="1"/>
      <c r="O1579" s="1"/>
    </row>
    <row r="1580" spans="1:15" ht="15.75" customHeight="1">
      <c r="A1580" s="1"/>
      <c r="B1580" s="1"/>
      <c r="C1580" s="1"/>
      <c r="D1580" s="1"/>
      <c r="E1580" s="1"/>
      <c r="F1580" s="1"/>
      <c r="G1580" s="1"/>
      <c r="H1580" s="1"/>
      <c r="I1580" s="1"/>
      <c r="J1580" s="1"/>
      <c r="O1580" s="1"/>
    </row>
    <row r="1581" spans="1:15" ht="15.75" customHeight="1">
      <c r="A1581" s="1"/>
      <c r="B1581" s="1"/>
      <c r="C1581" s="1"/>
      <c r="D1581" s="1"/>
      <c r="E1581" s="1"/>
      <c r="F1581" s="1"/>
      <c r="H1581" s="1"/>
      <c r="I1581" s="1"/>
      <c r="J1581" s="1"/>
      <c r="K1581" s="1"/>
      <c r="O1581" s="1"/>
    </row>
    <row r="1582" spans="1:15" ht="15.75" customHeight="1">
      <c r="A1582" s="1"/>
      <c r="B1582" s="1"/>
      <c r="C1582" s="1"/>
      <c r="D1582" s="1"/>
      <c r="E1582" s="1"/>
      <c r="F1582" s="1"/>
      <c r="H1582" s="1"/>
      <c r="I1582" s="1"/>
      <c r="J1582" s="1"/>
      <c r="K1582" s="1"/>
      <c r="O1582" s="1"/>
    </row>
    <row r="1583" spans="1:15" ht="15.75" customHeight="1">
      <c r="A1583" s="1"/>
      <c r="B1583" s="1"/>
      <c r="C1583" s="1"/>
      <c r="D1583" s="1"/>
      <c r="E1583" s="1"/>
      <c r="F1583" s="1"/>
      <c r="H1583" s="1"/>
      <c r="I1583" s="1"/>
      <c r="J1583" s="1"/>
      <c r="K1583" s="1"/>
      <c r="O1583" s="1"/>
    </row>
    <row r="1584" spans="1:15" ht="15.75" customHeight="1">
      <c r="A1584" s="1"/>
      <c r="B1584" s="1"/>
      <c r="C1584" s="1"/>
      <c r="D1584" s="1"/>
      <c r="E1584" s="1"/>
      <c r="F1584" s="1"/>
      <c r="G1584" s="1"/>
      <c r="H1584" s="1"/>
      <c r="I1584" s="1"/>
      <c r="K1584" s="1"/>
    </row>
    <row r="1585" spans="1:16" ht="15.75" customHeight="1">
      <c r="A1585" s="1"/>
      <c r="B1585" s="1"/>
      <c r="C1585" s="1"/>
      <c r="D1585" s="1"/>
      <c r="E1585" s="1"/>
      <c r="F1585" s="1"/>
      <c r="G1585" s="1"/>
      <c r="H1585" s="1"/>
      <c r="I1585" s="1"/>
      <c r="J1585" s="1"/>
      <c r="O1585" s="1"/>
    </row>
    <row r="1586" spans="1:16" ht="15.75" customHeight="1">
      <c r="A1586" s="1"/>
      <c r="B1586" s="1"/>
      <c r="C1586" s="1"/>
      <c r="D1586" s="1"/>
      <c r="E1586" s="1"/>
      <c r="F1586" s="1"/>
      <c r="H1586" s="1"/>
      <c r="I1586" s="1"/>
      <c r="J1586" s="1"/>
      <c r="O1586" s="1"/>
    </row>
    <row r="1587" spans="1:16" ht="15.75" customHeight="1">
      <c r="A1587" s="1"/>
      <c r="B1587" s="1"/>
      <c r="C1587" s="1"/>
      <c r="D1587" s="1"/>
      <c r="E1587" s="1"/>
      <c r="F1587" s="1"/>
      <c r="H1587" s="1"/>
      <c r="I1587" s="1"/>
      <c r="O1587" s="1"/>
    </row>
    <row r="1588" spans="1:16" ht="15.75" customHeight="1">
      <c r="A1588" s="1"/>
      <c r="B1588" s="1"/>
      <c r="C1588" s="1"/>
      <c r="D1588" s="1"/>
      <c r="E1588" s="1"/>
      <c r="F1588" s="1"/>
      <c r="H1588" s="1"/>
      <c r="I1588" s="1"/>
      <c r="J1588" s="1"/>
      <c r="K1588" s="1"/>
      <c r="O1588" s="1"/>
    </row>
    <row r="1589" spans="1:16" ht="15.75" customHeight="1">
      <c r="A1589" s="1"/>
      <c r="B1589" s="1"/>
      <c r="C1589" s="1"/>
      <c r="D1589" s="1"/>
      <c r="E1589" s="1"/>
      <c r="F1589" s="1"/>
      <c r="G1589" s="1"/>
      <c r="H1589" s="1"/>
      <c r="I1589" s="1"/>
      <c r="J1589" s="1"/>
      <c r="K1589" s="1"/>
      <c r="L1589" s="1"/>
      <c r="M1589" s="1"/>
      <c r="N1589" s="1"/>
      <c r="O1589" s="1"/>
      <c r="P1589" s="5"/>
    </row>
    <row r="1590" spans="1:16" ht="15.75" customHeight="1">
      <c r="A1590" s="1"/>
      <c r="B1590" s="1"/>
      <c r="C1590" s="1"/>
      <c r="D1590" s="1"/>
      <c r="E1590" s="1"/>
      <c r="F1590" s="1"/>
      <c r="G1590" s="1"/>
      <c r="H1590" s="1"/>
      <c r="I1590" s="1"/>
      <c r="J1590" s="1"/>
      <c r="K1590" s="1"/>
      <c r="L1590" s="1"/>
      <c r="M1590" s="1"/>
      <c r="N1590" s="1"/>
      <c r="O1590" s="1"/>
      <c r="P1590" s="5"/>
    </row>
    <row r="1591" spans="1:16" ht="15.75" customHeight="1">
      <c r="A1591" s="1"/>
      <c r="B1591" s="1"/>
      <c r="C1591" s="1"/>
      <c r="D1591" s="1"/>
      <c r="E1591" s="1"/>
      <c r="F1591" s="1"/>
      <c r="H1591" s="1"/>
      <c r="I1591" s="1"/>
      <c r="J1591" s="1"/>
      <c r="K1591" s="1"/>
      <c r="O1591" s="1"/>
    </row>
    <row r="1592" spans="1:16" ht="15.75" customHeight="1">
      <c r="A1592" s="1"/>
      <c r="B1592" s="1"/>
      <c r="C1592" s="1"/>
      <c r="D1592" s="1"/>
      <c r="E1592" s="1"/>
      <c r="F1592" s="1"/>
      <c r="H1592" s="1"/>
      <c r="I1592" s="1"/>
      <c r="J1592" s="1"/>
      <c r="K1592" s="1"/>
      <c r="O1592" s="1"/>
    </row>
    <row r="1593" spans="1:16" ht="15.75" customHeight="1">
      <c r="A1593" s="1"/>
      <c r="B1593" s="1"/>
      <c r="C1593" s="1"/>
      <c r="D1593" s="1"/>
      <c r="E1593" s="1"/>
      <c r="F1593" s="1"/>
      <c r="G1593" s="1"/>
      <c r="H1593" s="1"/>
      <c r="I1593" s="1"/>
      <c r="J1593" s="1"/>
      <c r="O1593" s="1"/>
    </row>
    <row r="1594" spans="1:16" ht="15.75" customHeight="1">
      <c r="A1594" s="1"/>
      <c r="B1594" s="1"/>
      <c r="C1594" s="1"/>
      <c r="D1594" s="1"/>
      <c r="E1594" s="1"/>
      <c r="F1594" s="1"/>
      <c r="H1594" s="1"/>
      <c r="I1594" s="1"/>
      <c r="J1594" s="1"/>
      <c r="O1594" s="1"/>
    </row>
    <row r="1595" spans="1:16" ht="15.75" customHeight="1">
      <c r="A1595" s="1"/>
      <c r="B1595" s="1"/>
      <c r="C1595" s="1"/>
      <c r="D1595" s="1"/>
      <c r="E1595" s="1"/>
      <c r="F1595" s="1"/>
      <c r="H1595" s="1"/>
      <c r="I1595" s="1"/>
      <c r="J1595" s="1"/>
      <c r="K1595" s="1"/>
      <c r="O1595" s="1"/>
    </row>
    <row r="1596" spans="1:16" ht="15.75" customHeight="1">
      <c r="A1596" s="1"/>
      <c r="B1596" s="1"/>
      <c r="C1596" s="1"/>
      <c r="D1596" s="1"/>
      <c r="E1596" s="1"/>
      <c r="F1596" s="1"/>
      <c r="G1596" s="1"/>
      <c r="H1596" s="1"/>
      <c r="I1596" s="1"/>
      <c r="J1596" s="1"/>
      <c r="K1596" s="1"/>
      <c r="O1596" s="1"/>
    </row>
    <row r="1597" spans="1:16" ht="15.75" customHeight="1">
      <c r="A1597" s="1"/>
      <c r="B1597" s="1"/>
      <c r="C1597" s="1"/>
      <c r="D1597" s="1"/>
      <c r="E1597" s="1"/>
      <c r="F1597" s="1"/>
      <c r="G1597" s="1"/>
      <c r="H1597" s="1"/>
      <c r="I1597" s="1"/>
      <c r="K1597" s="1"/>
    </row>
    <row r="1598" spans="1:16" ht="15.75" customHeight="1">
      <c r="A1598" s="1"/>
      <c r="B1598" s="1"/>
      <c r="C1598" s="1"/>
      <c r="D1598" s="1"/>
      <c r="E1598" s="1"/>
      <c r="F1598" s="1"/>
      <c r="H1598" s="1"/>
      <c r="I1598" s="1"/>
      <c r="J1598" s="1"/>
      <c r="O1598" s="1"/>
    </row>
    <row r="1599" spans="1:16" ht="15.75" customHeight="1">
      <c r="A1599" s="1"/>
      <c r="B1599" s="1"/>
      <c r="C1599" s="1"/>
      <c r="D1599" s="1"/>
      <c r="E1599" s="1"/>
      <c r="F1599" s="1"/>
      <c r="G1599" s="1"/>
      <c r="H1599" s="1"/>
      <c r="I1599" s="1"/>
      <c r="J1599" s="1"/>
      <c r="O1599" s="1"/>
    </row>
    <row r="1600" spans="1:16" ht="15.75" customHeight="1">
      <c r="A1600" s="1"/>
      <c r="B1600" s="1"/>
      <c r="C1600" s="1"/>
      <c r="D1600" s="1"/>
      <c r="E1600" s="1"/>
      <c r="F1600" s="1"/>
      <c r="H1600" s="1"/>
      <c r="I1600" s="1"/>
      <c r="J1600" s="1"/>
      <c r="K1600" s="1"/>
      <c r="O1600" s="1"/>
    </row>
    <row r="1601" spans="1:16" ht="15.75" customHeight="1">
      <c r="A1601" s="1"/>
      <c r="B1601" s="1"/>
      <c r="C1601" s="1"/>
      <c r="D1601" s="1"/>
      <c r="E1601" s="1"/>
      <c r="F1601" s="1"/>
      <c r="G1601" s="1"/>
      <c r="H1601" s="1"/>
      <c r="I1601" s="1"/>
      <c r="J1601" s="1"/>
      <c r="K1601" s="1"/>
      <c r="O1601" s="1"/>
    </row>
    <row r="1602" spans="1:16" ht="15.75" customHeight="1">
      <c r="A1602" s="1"/>
      <c r="B1602" s="1"/>
      <c r="C1602" s="1"/>
      <c r="D1602" s="1"/>
      <c r="E1602" s="1"/>
      <c r="F1602" s="1"/>
      <c r="G1602" s="1"/>
      <c r="H1602" s="1"/>
      <c r="I1602" s="1"/>
      <c r="J1602" s="1"/>
      <c r="K1602" s="1"/>
    </row>
    <row r="1603" spans="1:16" ht="15.75" customHeight="1">
      <c r="A1603" s="1"/>
      <c r="B1603" s="1"/>
      <c r="C1603" s="1"/>
      <c r="D1603" s="1"/>
      <c r="E1603" s="1"/>
      <c r="F1603" s="1"/>
      <c r="H1603" s="1"/>
      <c r="I1603" s="1"/>
      <c r="J1603" s="1"/>
      <c r="K1603" s="1"/>
      <c r="O1603" s="1"/>
    </row>
    <row r="1604" spans="1:16" ht="15.75" customHeight="1">
      <c r="A1604" s="1"/>
      <c r="B1604" s="1"/>
      <c r="C1604" s="1"/>
      <c r="D1604" s="1"/>
      <c r="E1604" s="1"/>
      <c r="F1604" s="1"/>
      <c r="H1604" s="1"/>
      <c r="I1604" s="1"/>
      <c r="J1604" s="1"/>
      <c r="K1604" s="1"/>
      <c r="O1604" s="1"/>
    </row>
    <row r="1605" spans="1:16" ht="15.75" customHeight="1">
      <c r="A1605" s="1"/>
      <c r="B1605" s="1"/>
      <c r="C1605" s="1"/>
      <c r="D1605" s="1"/>
      <c r="E1605" s="1"/>
      <c r="F1605" s="1"/>
      <c r="G1605" s="1"/>
      <c r="H1605" s="1"/>
      <c r="I1605" s="1"/>
      <c r="J1605" s="1"/>
      <c r="K1605" s="1"/>
      <c r="O1605" s="1"/>
    </row>
    <row r="1606" spans="1:16" ht="15.75" customHeight="1">
      <c r="A1606" s="1"/>
      <c r="B1606" s="1"/>
      <c r="C1606" s="2"/>
      <c r="D1606" s="1"/>
      <c r="E1606" s="1"/>
      <c r="F1606" s="1"/>
      <c r="H1606" s="1"/>
      <c r="I1606" s="1"/>
      <c r="J1606" s="1"/>
      <c r="O1606" s="1"/>
    </row>
    <row r="1607" spans="1:16" ht="15.75" customHeight="1">
      <c r="A1607" s="1"/>
      <c r="B1607" s="1"/>
      <c r="C1607" s="1"/>
      <c r="D1607" s="1"/>
      <c r="E1607" s="1"/>
      <c r="F1607" s="1"/>
      <c r="G1607" s="1"/>
      <c r="H1607" s="1"/>
      <c r="I1607" s="1"/>
      <c r="K1607" s="1"/>
    </row>
    <row r="1608" spans="1:16" ht="15.75" customHeight="1">
      <c r="A1608" s="1"/>
      <c r="B1608" s="1"/>
      <c r="C1608" s="1"/>
      <c r="D1608" s="1"/>
      <c r="E1608" s="1"/>
      <c r="F1608" s="1"/>
      <c r="H1608" s="1"/>
      <c r="I1608" s="1"/>
      <c r="J1608" s="1"/>
      <c r="O1608" s="1"/>
    </row>
    <row r="1609" spans="1:16" ht="15.75" customHeight="1">
      <c r="A1609" s="1"/>
      <c r="B1609" s="1"/>
      <c r="C1609" s="1"/>
      <c r="D1609" s="1"/>
      <c r="E1609" s="1"/>
      <c r="F1609" s="1"/>
      <c r="G1609" s="1"/>
      <c r="H1609" s="1"/>
      <c r="I1609" s="1"/>
      <c r="K1609" s="1"/>
    </row>
    <row r="1610" spans="1:16" ht="15.75" customHeight="1">
      <c r="A1610" s="1"/>
      <c r="B1610" s="1"/>
      <c r="C1610" s="1"/>
      <c r="D1610" s="1"/>
      <c r="E1610" s="1"/>
      <c r="F1610" s="1"/>
      <c r="H1610" s="1"/>
      <c r="I1610" s="1"/>
      <c r="J1610" s="1"/>
      <c r="K1610" s="1"/>
      <c r="O1610" s="1"/>
    </row>
    <row r="1611" spans="1:16" ht="15.75" customHeight="1">
      <c r="A1611" s="1"/>
      <c r="B1611" s="1"/>
      <c r="C1611" s="1"/>
      <c r="D1611" s="1"/>
      <c r="E1611" s="1"/>
      <c r="F1611" s="1"/>
      <c r="H1611" s="1"/>
      <c r="I1611" s="1"/>
      <c r="J1611" s="1"/>
      <c r="K1611" s="1"/>
      <c r="O1611" s="1"/>
    </row>
    <row r="1612" spans="1:16" ht="15.75" customHeight="1">
      <c r="A1612" s="1"/>
      <c r="B1612" s="1"/>
      <c r="C1612" s="1"/>
      <c r="D1612" s="1"/>
      <c r="E1612" s="1"/>
      <c r="F1612" s="1"/>
      <c r="H1612" s="1"/>
      <c r="I1612" s="1"/>
      <c r="J1612" s="1"/>
      <c r="O1612" s="1"/>
    </row>
    <row r="1613" spans="1:16" ht="15.75" customHeight="1">
      <c r="A1613" s="1"/>
      <c r="B1613" s="1"/>
      <c r="C1613" s="1"/>
      <c r="D1613" s="1"/>
      <c r="E1613" s="1"/>
      <c r="F1613" s="1"/>
      <c r="H1613" s="1"/>
      <c r="I1613" s="1"/>
      <c r="J1613" s="1"/>
      <c r="K1613" s="1"/>
      <c r="O1613" s="1"/>
    </row>
    <row r="1614" spans="1:16" ht="15.75" customHeight="1">
      <c r="A1614" s="1"/>
      <c r="B1614" s="1"/>
      <c r="C1614" s="1"/>
      <c r="D1614" s="1"/>
      <c r="E1614" s="1"/>
      <c r="F1614" s="1"/>
      <c r="G1614" s="1"/>
      <c r="H1614" s="1"/>
      <c r="I1614" s="1"/>
      <c r="J1614" s="1"/>
      <c r="K1614" s="1"/>
      <c r="L1614" s="1"/>
      <c r="M1614" s="1"/>
      <c r="N1614" s="1"/>
      <c r="O1614" s="1"/>
      <c r="P1614" s="5"/>
    </row>
    <row r="1615" spans="1:16" ht="15.75" customHeight="1">
      <c r="A1615" s="1"/>
      <c r="B1615" s="1"/>
      <c r="C1615" s="1"/>
      <c r="D1615" s="1"/>
      <c r="E1615" s="1"/>
      <c r="F1615" s="1"/>
      <c r="G1615" s="1"/>
      <c r="H1615" s="1"/>
      <c r="I1615" s="1"/>
      <c r="J1615" s="1"/>
      <c r="K1615" s="1"/>
    </row>
    <row r="1616" spans="1:16" ht="15.75" customHeight="1">
      <c r="A1616" s="1"/>
      <c r="B1616" s="1"/>
      <c r="C1616" s="1"/>
      <c r="D1616" s="1"/>
      <c r="E1616" s="1"/>
      <c r="F1616" s="1"/>
      <c r="G1616" s="1"/>
      <c r="H1616" s="1"/>
      <c r="I1616" s="1"/>
      <c r="K1616" s="1"/>
      <c r="O1616" s="1"/>
    </row>
    <row r="1617" spans="1:16" ht="15.75" customHeight="1">
      <c r="A1617" s="1"/>
      <c r="B1617" s="1"/>
      <c r="C1617" s="1"/>
      <c r="D1617" s="1"/>
      <c r="E1617" s="1"/>
      <c r="F1617" s="1"/>
      <c r="G1617" s="1"/>
      <c r="H1617" s="1"/>
      <c r="I1617" s="1"/>
      <c r="J1617" s="1"/>
      <c r="K1617" s="1"/>
      <c r="L1617" s="1"/>
      <c r="M1617" s="1"/>
      <c r="N1617" s="1"/>
      <c r="O1617" s="1"/>
      <c r="P1617" s="5"/>
    </row>
    <row r="1618" spans="1:16" ht="15.75" customHeight="1">
      <c r="A1618" s="1"/>
      <c r="B1618" s="1"/>
      <c r="C1618" s="1"/>
      <c r="D1618" s="1"/>
      <c r="E1618" s="1"/>
      <c r="F1618" s="1"/>
      <c r="H1618" s="1"/>
      <c r="I1618" s="1"/>
      <c r="J1618" s="1"/>
      <c r="K1618" s="1"/>
      <c r="O1618" s="1"/>
    </row>
    <row r="1619" spans="1:16" ht="15.75" customHeight="1">
      <c r="A1619" s="1"/>
      <c r="B1619" s="1"/>
      <c r="C1619" s="1"/>
      <c r="D1619" s="1"/>
      <c r="E1619" s="1"/>
      <c r="F1619" s="1"/>
      <c r="G1619" s="1"/>
      <c r="H1619" s="1"/>
      <c r="I1619" s="1"/>
      <c r="J1619" s="1"/>
      <c r="K1619" s="1"/>
    </row>
    <row r="1620" spans="1:16" ht="15.75" customHeight="1">
      <c r="A1620" s="1"/>
      <c r="B1620" s="1"/>
      <c r="C1620" s="1"/>
      <c r="D1620" s="1"/>
      <c r="E1620" s="1"/>
      <c r="F1620" s="1"/>
      <c r="G1620" s="1"/>
      <c r="H1620" s="1"/>
      <c r="I1620" s="1"/>
      <c r="J1620" s="1"/>
      <c r="K1620" s="1"/>
      <c r="O1620" s="1"/>
    </row>
    <row r="1621" spans="1:16" ht="15.75" customHeight="1">
      <c r="A1621" s="1"/>
      <c r="B1621" s="1"/>
      <c r="C1621" s="1"/>
      <c r="D1621" s="1"/>
      <c r="E1621" s="1"/>
      <c r="F1621" s="1"/>
      <c r="G1621" s="1"/>
      <c r="H1621" s="1"/>
      <c r="I1621" s="1"/>
      <c r="J1621" s="1"/>
      <c r="K1621" s="1"/>
      <c r="L1621" s="1"/>
      <c r="M1621" s="1"/>
      <c r="N1621" s="1"/>
      <c r="O1621" s="1"/>
      <c r="P1621" s="5"/>
    </row>
    <row r="1622" spans="1:16" ht="15.75" customHeight="1">
      <c r="A1622" s="1"/>
      <c r="B1622" s="1"/>
      <c r="C1622" s="1"/>
      <c r="D1622" s="1"/>
      <c r="E1622" s="1"/>
      <c r="F1622" s="1"/>
      <c r="H1622" s="1"/>
      <c r="I1622" s="1"/>
      <c r="J1622" s="1"/>
      <c r="O1622" s="1"/>
    </row>
    <row r="1623" spans="1:16" ht="15.75" customHeight="1">
      <c r="A1623" s="1"/>
      <c r="B1623" s="1"/>
      <c r="C1623" s="1"/>
      <c r="D1623" s="1"/>
      <c r="E1623" s="1"/>
      <c r="F1623" s="1"/>
      <c r="H1623" s="1"/>
      <c r="I1623" s="1"/>
      <c r="J1623" s="1"/>
      <c r="O1623" s="1"/>
    </row>
    <row r="1624" spans="1:16" ht="15.75" customHeight="1">
      <c r="A1624" s="1"/>
      <c r="B1624" s="1"/>
      <c r="C1624" s="1"/>
      <c r="D1624" s="1"/>
      <c r="E1624" s="1"/>
      <c r="F1624" s="1"/>
      <c r="G1624" s="1"/>
      <c r="H1624" s="1"/>
      <c r="I1624" s="1"/>
      <c r="J1624" s="1"/>
      <c r="O1624" s="1"/>
    </row>
    <row r="1625" spans="1:16" ht="15.75" customHeight="1">
      <c r="A1625" s="1"/>
      <c r="B1625" s="1"/>
      <c r="C1625" s="1"/>
      <c r="D1625" s="1"/>
      <c r="E1625" s="1"/>
      <c r="F1625" s="1"/>
      <c r="H1625" s="1"/>
      <c r="I1625" s="1"/>
      <c r="J1625" s="1"/>
      <c r="K1625" s="1"/>
      <c r="O1625" s="1"/>
    </row>
    <row r="1626" spans="1:16" ht="15.75" customHeight="1">
      <c r="A1626" s="1"/>
      <c r="B1626" s="1"/>
      <c r="C1626" s="1"/>
      <c r="D1626" s="1"/>
      <c r="E1626" s="1"/>
      <c r="F1626" s="1"/>
      <c r="H1626" s="1"/>
      <c r="I1626" s="1"/>
      <c r="J1626" s="1"/>
      <c r="K1626" s="1"/>
      <c r="O1626" s="1"/>
    </row>
    <row r="1627" spans="1:16" ht="15.75" customHeight="1">
      <c r="A1627" s="1"/>
      <c r="B1627" s="1"/>
      <c r="C1627" s="1"/>
      <c r="D1627" s="1"/>
      <c r="E1627" s="1"/>
      <c r="F1627" s="1"/>
      <c r="G1627" s="1"/>
      <c r="H1627" s="1"/>
      <c r="I1627" s="1"/>
      <c r="J1627" s="1"/>
      <c r="K1627" s="1"/>
      <c r="L1627" s="1"/>
      <c r="M1627" s="1"/>
      <c r="N1627" s="1"/>
      <c r="O1627" s="1"/>
      <c r="P1627" s="5"/>
    </row>
    <row r="1628" spans="1:16" ht="15.75" customHeight="1">
      <c r="A1628" s="1"/>
      <c r="B1628" s="1"/>
      <c r="C1628" s="1"/>
      <c r="D1628" s="1"/>
      <c r="E1628" s="1"/>
      <c r="F1628" s="1"/>
      <c r="G1628" s="1"/>
      <c r="H1628" s="1"/>
      <c r="I1628" s="1"/>
      <c r="J1628" s="1"/>
      <c r="K1628" s="1"/>
    </row>
    <row r="1629" spans="1:16" ht="15.75" customHeight="1">
      <c r="A1629" s="1"/>
      <c r="B1629" s="1"/>
      <c r="C1629" s="1"/>
      <c r="D1629" s="1"/>
      <c r="E1629" s="1"/>
      <c r="F1629" s="1"/>
      <c r="G1629" s="1"/>
      <c r="H1629" s="1"/>
      <c r="I1629" s="1"/>
      <c r="J1629" s="1"/>
      <c r="K1629" s="1"/>
    </row>
    <row r="1630" spans="1:16" ht="15.75" customHeight="1">
      <c r="A1630" s="1"/>
      <c r="B1630" s="1"/>
      <c r="C1630" s="1"/>
      <c r="D1630" s="1"/>
      <c r="E1630" s="1"/>
      <c r="F1630" s="1"/>
      <c r="H1630" s="1"/>
      <c r="I1630" s="1"/>
      <c r="J1630" s="1"/>
      <c r="K1630" s="1"/>
      <c r="O1630" s="1"/>
    </row>
    <row r="1631" spans="1:16" ht="15.75" customHeight="1">
      <c r="A1631" s="1"/>
      <c r="B1631" s="1"/>
      <c r="C1631" s="1"/>
      <c r="D1631" s="1"/>
      <c r="F1631" s="1"/>
      <c r="H1631" s="1"/>
      <c r="I1631" s="1"/>
      <c r="J1631" s="1"/>
      <c r="O1631" s="1"/>
    </row>
    <row r="1632" spans="1:16" ht="15.75" customHeight="1">
      <c r="A1632" s="1"/>
      <c r="B1632" s="1"/>
      <c r="C1632" s="1"/>
      <c r="D1632" s="1"/>
      <c r="E1632" s="1"/>
      <c r="F1632" s="1"/>
      <c r="G1632" s="1"/>
      <c r="H1632" s="1"/>
      <c r="I1632" s="1"/>
      <c r="J1632" s="1"/>
      <c r="K1632" s="1"/>
      <c r="L1632" s="1"/>
      <c r="M1632" s="1"/>
      <c r="N1632" s="1"/>
      <c r="O1632" s="1"/>
      <c r="P1632" s="5"/>
    </row>
    <row r="1633" spans="1:16" ht="15.75" customHeight="1">
      <c r="A1633" s="1"/>
      <c r="B1633" s="1"/>
      <c r="C1633" s="1"/>
      <c r="D1633" s="1"/>
      <c r="E1633" s="1"/>
      <c r="F1633" s="1"/>
      <c r="G1633" s="1"/>
      <c r="H1633" s="1"/>
      <c r="I1633" s="1"/>
      <c r="K1633" s="1"/>
      <c r="O1633" s="1"/>
    </row>
    <row r="1634" spans="1:16" ht="15.75" customHeight="1">
      <c r="A1634" s="1"/>
      <c r="B1634" s="1"/>
      <c r="C1634" s="1"/>
      <c r="D1634" s="1"/>
      <c r="E1634" s="1"/>
      <c r="F1634" s="1"/>
      <c r="G1634" s="1"/>
      <c r="H1634" s="1"/>
      <c r="I1634" s="1"/>
      <c r="J1634" s="1"/>
      <c r="K1634" s="1"/>
      <c r="O1634" s="1"/>
    </row>
    <row r="1635" spans="1:16" ht="15.75" customHeight="1">
      <c r="A1635" s="1"/>
      <c r="B1635" s="1"/>
      <c r="C1635" s="1"/>
      <c r="D1635" s="1"/>
      <c r="E1635" s="1"/>
      <c r="F1635" s="1"/>
      <c r="G1635" s="1"/>
      <c r="H1635" s="1"/>
      <c r="I1635" s="1"/>
      <c r="J1635" s="1"/>
      <c r="K1635" s="1"/>
      <c r="O1635" s="1"/>
    </row>
    <row r="1636" spans="1:16" ht="15.75" customHeight="1">
      <c r="A1636" s="1"/>
      <c r="B1636" s="1"/>
      <c r="C1636" s="1"/>
      <c r="D1636" s="1"/>
      <c r="E1636" s="1"/>
      <c r="F1636" s="1"/>
      <c r="H1636" s="1"/>
      <c r="I1636" s="1"/>
      <c r="J1636" s="1"/>
      <c r="K1636" s="1"/>
      <c r="O1636" s="1"/>
    </row>
    <row r="1637" spans="1:16" ht="15.75" customHeight="1">
      <c r="A1637" s="1"/>
      <c r="B1637" s="1"/>
      <c r="C1637" s="1"/>
      <c r="D1637" s="1"/>
      <c r="E1637" s="1"/>
      <c r="F1637" s="1"/>
      <c r="G1637" s="1"/>
      <c r="H1637" s="1"/>
      <c r="I1637" s="1"/>
      <c r="J1637" s="1"/>
      <c r="K1637" s="1"/>
      <c r="L1637" s="1"/>
      <c r="M1637" s="1"/>
      <c r="N1637" s="1"/>
      <c r="O1637" s="1"/>
      <c r="P1637" s="5"/>
    </row>
    <row r="1638" spans="1:16" ht="15.75" customHeight="1">
      <c r="A1638" s="1"/>
      <c r="B1638" s="1"/>
      <c r="C1638" s="1"/>
      <c r="D1638" s="1"/>
      <c r="E1638" s="1"/>
      <c r="F1638" s="1"/>
      <c r="H1638" s="1"/>
      <c r="I1638" s="1"/>
      <c r="J1638" s="1"/>
      <c r="K1638" s="1"/>
      <c r="O1638" s="1"/>
    </row>
    <row r="1639" spans="1:16" ht="15.75" customHeight="1">
      <c r="A1639" s="1"/>
      <c r="B1639" s="1"/>
      <c r="C1639" s="1"/>
      <c r="D1639" s="1"/>
      <c r="E1639" s="1"/>
      <c r="F1639" s="1"/>
      <c r="G1639" s="1"/>
      <c r="H1639" s="1"/>
      <c r="I1639" s="1"/>
      <c r="J1639" s="1"/>
      <c r="K1639" s="1"/>
    </row>
    <row r="1640" spans="1:16" ht="15.75" customHeight="1">
      <c r="A1640" s="1"/>
      <c r="B1640" s="1"/>
      <c r="C1640" s="1"/>
      <c r="D1640" s="1"/>
      <c r="E1640" s="1"/>
      <c r="F1640" s="1"/>
      <c r="G1640" s="1"/>
      <c r="H1640" s="1"/>
      <c r="I1640" s="1"/>
      <c r="J1640" s="1"/>
      <c r="K1640" s="1"/>
      <c r="L1640" s="1"/>
      <c r="M1640" s="1"/>
      <c r="N1640" s="1"/>
      <c r="O1640" s="1"/>
      <c r="P1640" s="5"/>
    </row>
    <row r="1641" spans="1:16" ht="15.75" customHeight="1">
      <c r="A1641" s="1"/>
      <c r="B1641" s="1"/>
      <c r="C1641" s="1"/>
      <c r="D1641" s="1"/>
      <c r="E1641" s="1"/>
      <c r="F1641" s="1"/>
      <c r="G1641" s="1"/>
      <c r="H1641" s="1"/>
      <c r="I1641" s="1"/>
      <c r="J1641" s="1"/>
      <c r="K1641" s="1"/>
    </row>
    <row r="1642" spans="1:16" ht="15.75" customHeight="1">
      <c r="A1642" s="1"/>
      <c r="B1642" s="1"/>
      <c r="C1642" s="1"/>
      <c r="D1642" s="1"/>
      <c r="E1642" s="1"/>
      <c r="F1642" s="1"/>
      <c r="G1642" s="1"/>
      <c r="H1642" s="1"/>
      <c r="I1642" s="1"/>
      <c r="K1642" s="1"/>
      <c r="O1642" s="1"/>
    </row>
    <row r="1643" spans="1:16" ht="15.75" customHeight="1">
      <c r="A1643" s="1"/>
      <c r="B1643" s="1"/>
      <c r="C1643" s="1"/>
      <c r="D1643" s="1"/>
      <c r="E1643" s="1"/>
      <c r="F1643" s="1"/>
      <c r="H1643" s="1"/>
      <c r="I1643" s="1"/>
      <c r="J1643" s="1"/>
      <c r="K1643" s="1"/>
      <c r="O1643" s="1"/>
    </row>
    <row r="1644" spans="1:16" ht="15.75" customHeight="1">
      <c r="A1644" s="1"/>
      <c r="B1644" s="1"/>
      <c r="C1644" s="1"/>
      <c r="D1644" s="1"/>
      <c r="E1644" s="1"/>
      <c r="F1644" s="1"/>
      <c r="G1644" s="1"/>
      <c r="H1644" s="1"/>
      <c r="I1644" s="1"/>
      <c r="K1644" s="1"/>
    </row>
    <row r="1645" spans="1:16" ht="15.75" customHeight="1">
      <c r="A1645" s="1"/>
      <c r="B1645" s="1"/>
      <c r="C1645" s="1"/>
      <c r="D1645" s="1"/>
      <c r="E1645" s="1"/>
      <c r="F1645" s="1"/>
      <c r="H1645" s="1"/>
      <c r="I1645" s="1"/>
      <c r="J1645" s="1"/>
      <c r="K1645" s="1"/>
      <c r="O1645" s="1"/>
    </row>
    <row r="1646" spans="1:16" ht="15.75" customHeight="1">
      <c r="A1646" s="1"/>
      <c r="B1646" s="1"/>
      <c r="C1646" s="1"/>
      <c r="D1646" s="1"/>
      <c r="F1646" s="1"/>
      <c r="H1646" s="1"/>
      <c r="I1646" s="1"/>
      <c r="J1646" s="1"/>
      <c r="K1646" s="1"/>
      <c r="O1646" s="1"/>
    </row>
    <row r="1647" spans="1:16" ht="15.75" customHeight="1">
      <c r="A1647" s="1"/>
      <c r="B1647" s="1"/>
      <c r="C1647" s="1"/>
      <c r="D1647" s="1"/>
      <c r="E1647" s="1"/>
      <c r="F1647" s="1"/>
      <c r="G1647" s="1"/>
      <c r="H1647" s="1"/>
      <c r="I1647" s="1"/>
      <c r="J1647" s="1"/>
      <c r="K1647" s="1"/>
    </row>
    <row r="1648" spans="1:16" ht="15.75" customHeight="1">
      <c r="A1648" s="1"/>
      <c r="B1648" s="1"/>
      <c r="C1648" s="1"/>
      <c r="D1648" s="1"/>
      <c r="E1648" s="1"/>
      <c r="F1648" s="1"/>
      <c r="G1648" s="1"/>
      <c r="H1648" s="1"/>
      <c r="I1648" s="1"/>
      <c r="K1648" s="1"/>
      <c r="O1648" s="1"/>
    </row>
    <row r="1649" spans="1:16" ht="15.75" customHeight="1">
      <c r="A1649" s="1"/>
      <c r="B1649" s="1"/>
      <c r="C1649" s="1"/>
      <c r="D1649" s="1"/>
      <c r="E1649" s="1"/>
      <c r="F1649" s="1"/>
      <c r="H1649" s="1"/>
      <c r="I1649" s="1"/>
      <c r="J1649" s="1"/>
      <c r="K1649" s="1"/>
      <c r="O1649" s="1"/>
    </row>
    <row r="1650" spans="1:16" ht="15.75" customHeight="1">
      <c r="A1650" s="1"/>
      <c r="B1650" s="1"/>
      <c r="C1650" s="1"/>
      <c r="D1650" s="1"/>
      <c r="E1650" s="1"/>
      <c r="F1650" s="1"/>
      <c r="G1650" s="1"/>
      <c r="H1650" s="1"/>
      <c r="I1650" s="1"/>
      <c r="J1650" s="1"/>
      <c r="K1650" s="1"/>
    </row>
    <row r="1651" spans="1:16" ht="15.75" customHeight="1">
      <c r="A1651" s="1"/>
      <c r="B1651" s="1"/>
      <c r="C1651" s="1"/>
      <c r="D1651" s="1"/>
      <c r="E1651" s="1"/>
      <c r="F1651" s="1"/>
      <c r="H1651" s="1"/>
      <c r="I1651" s="1"/>
      <c r="J1651" s="1"/>
      <c r="K1651" s="1"/>
      <c r="O1651" s="1"/>
    </row>
    <row r="1652" spans="1:16" ht="15.75" customHeight="1">
      <c r="A1652" s="1"/>
      <c r="B1652" s="1"/>
      <c r="C1652" s="1"/>
      <c r="D1652" s="1"/>
      <c r="E1652" s="1"/>
      <c r="F1652" s="1"/>
      <c r="H1652" s="1"/>
      <c r="I1652" s="1"/>
      <c r="J1652" s="1"/>
      <c r="O1652" s="1"/>
    </row>
    <row r="1653" spans="1:16" ht="15.75" customHeight="1">
      <c r="A1653" s="1"/>
      <c r="B1653" s="1"/>
      <c r="C1653" s="1"/>
      <c r="D1653" s="1"/>
      <c r="E1653" s="1"/>
      <c r="F1653" s="1"/>
      <c r="H1653" s="1"/>
      <c r="I1653" s="1"/>
      <c r="J1653" s="1"/>
      <c r="O1653" s="1"/>
    </row>
    <row r="1654" spans="1:16" ht="15.75" customHeight="1">
      <c r="A1654" s="1"/>
      <c r="B1654" s="1"/>
      <c r="C1654" s="1"/>
      <c r="D1654" s="1"/>
      <c r="E1654" s="1"/>
      <c r="F1654" s="1"/>
      <c r="G1654" s="1"/>
      <c r="H1654" s="1"/>
      <c r="I1654" s="1"/>
      <c r="K1654" s="1"/>
    </row>
    <row r="1655" spans="1:16" ht="15.75" customHeight="1">
      <c r="A1655" s="1"/>
      <c r="B1655" s="1"/>
      <c r="C1655" s="1"/>
      <c r="D1655" s="1"/>
      <c r="E1655" s="1"/>
      <c r="F1655" s="1"/>
      <c r="G1655" s="1"/>
      <c r="H1655" s="1"/>
      <c r="I1655" s="1"/>
      <c r="J1655" s="1"/>
      <c r="K1655" s="1"/>
      <c r="L1655" s="1"/>
      <c r="M1655" s="1"/>
      <c r="N1655" s="1"/>
      <c r="O1655" s="1"/>
      <c r="P1655" s="5"/>
    </row>
    <row r="1656" spans="1:16" ht="15.75" customHeight="1">
      <c r="A1656" s="1"/>
      <c r="B1656" s="1"/>
      <c r="C1656" s="1"/>
      <c r="D1656" s="1"/>
      <c r="E1656" s="1"/>
      <c r="F1656" s="1"/>
      <c r="G1656" s="1"/>
      <c r="H1656" s="1"/>
      <c r="I1656" s="1"/>
      <c r="J1656" s="1"/>
      <c r="K1656" s="1"/>
      <c r="O1656" s="1"/>
    </row>
    <row r="1657" spans="1:16" ht="15.75" customHeight="1">
      <c r="A1657" s="1"/>
      <c r="B1657" s="1"/>
      <c r="C1657" s="1"/>
      <c r="D1657" s="1"/>
      <c r="E1657" s="1"/>
      <c r="F1657" s="1"/>
      <c r="H1657" s="1"/>
      <c r="I1657" s="1"/>
      <c r="J1657" s="1"/>
      <c r="K1657" s="1"/>
      <c r="O1657" s="1"/>
    </row>
    <row r="1658" spans="1:16" ht="15.75" customHeight="1">
      <c r="A1658" s="1"/>
      <c r="B1658" s="1"/>
      <c r="C1658" s="1"/>
      <c r="D1658" s="1"/>
      <c r="E1658" s="1"/>
      <c r="F1658" s="1"/>
      <c r="G1658" s="1"/>
      <c r="H1658" s="1"/>
      <c r="I1658" s="1"/>
      <c r="J1658" s="1"/>
      <c r="K1658" s="1"/>
      <c r="O1658" s="1"/>
    </row>
    <row r="1659" spans="1:16" ht="15.75" customHeight="1">
      <c r="A1659" s="1"/>
      <c r="B1659" s="1"/>
      <c r="C1659" s="1"/>
      <c r="D1659" s="1"/>
      <c r="E1659" s="1"/>
      <c r="F1659" s="1"/>
      <c r="H1659" s="1"/>
      <c r="I1659" s="1"/>
      <c r="J1659" s="1"/>
      <c r="K1659" s="1"/>
      <c r="O1659" s="1"/>
    </row>
    <row r="1660" spans="1:16" ht="15.75" customHeight="1">
      <c r="A1660" s="1"/>
      <c r="B1660" s="1"/>
      <c r="C1660" s="1"/>
      <c r="D1660" s="1"/>
      <c r="E1660" s="1"/>
      <c r="F1660" s="1"/>
      <c r="G1660" s="1"/>
      <c r="H1660" s="1"/>
      <c r="I1660" s="1"/>
      <c r="K1660" s="1"/>
      <c r="O1660" s="1"/>
    </row>
    <row r="1661" spans="1:16" ht="15.75" customHeight="1">
      <c r="A1661" s="1"/>
      <c r="B1661" s="1"/>
      <c r="C1661" s="1"/>
      <c r="D1661" s="1"/>
      <c r="E1661" s="1"/>
      <c r="F1661" s="2"/>
      <c r="H1661" s="1"/>
      <c r="I1661" s="1"/>
      <c r="J1661" s="1"/>
      <c r="K1661" s="1"/>
      <c r="O1661" s="1"/>
    </row>
    <row r="1662" spans="1:16" ht="15.75" customHeight="1">
      <c r="A1662" s="1"/>
      <c r="B1662" s="1"/>
      <c r="C1662" s="1"/>
      <c r="D1662" s="1"/>
      <c r="E1662" s="1"/>
      <c r="F1662" s="1"/>
      <c r="G1662" s="1"/>
      <c r="H1662" s="1"/>
      <c r="I1662" s="1"/>
      <c r="J1662" s="1"/>
      <c r="K1662" s="1"/>
      <c r="O1662" s="1"/>
    </row>
    <row r="1663" spans="1:16" ht="15.75" customHeight="1">
      <c r="A1663" s="1"/>
      <c r="B1663" s="1"/>
      <c r="C1663" s="1"/>
      <c r="D1663" s="1"/>
      <c r="E1663" s="1"/>
      <c r="F1663" s="1"/>
      <c r="H1663" s="1"/>
      <c r="I1663" s="1"/>
      <c r="J1663" s="1"/>
      <c r="K1663" s="1"/>
    </row>
    <row r="1664" spans="1:16" ht="15.75" customHeight="1">
      <c r="A1664" s="1"/>
      <c r="B1664" s="1"/>
      <c r="C1664" s="1"/>
      <c r="D1664" s="1"/>
      <c r="E1664" s="1"/>
      <c r="F1664" s="1"/>
      <c r="G1664" s="1"/>
      <c r="H1664" s="1"/>
      <c r="I1664" s="1"/>
      <c r="K1664" s="1"/>
    </row>
    <row r="1665" spans="1:17" ht="15.75" customHeight="1">
      <c r="A1665" s="1"/>
      <c r="B1665" s="1"/>
      <c r="C1665" s="1"/>
      <c r="D1665" s="1"/>
      <c r="E1665" s="1"/>
      <c r="F1665" s="1"/>
      <c r="G1665" s="1"/>
      <c r="H1665" s="1"/>
      <c r="I1665" s="1"/>
      <c r="K1665" s="1"/>
      <c r="O1665" s="1"/>
    </row>
    <row r="1666" spans="1:17" ht="15.75" customHeight="1">
      <c r="A1666" s="1"/>
      <c r="B1666" s="1"/>
      <c r="C1666" s="1"/>
      <c r="D1666" s="1"/>
      <c r="E1666" s="1"/>
      <c r="F1666" s="2"/>
      <c r="H1666" s="1"/>
      <c r="I1666" s="1"/>
      <c r="J1666" s="1"/>
      <c r="K1666" s="1"/>
      <c r="O1666" s="1"/>
    </row>
    <row r="1667" spans="1:17" ht="15.75" customHeight="1">
      <c r="A1667" s="1"/>
      <c r="B1667" s="1"/>
      <c r="C1667" s="1"/>
      <c r="D1667" s="1"/>
      <c r="E1667" s="1"/>
      <c r="F1667" s="1"/>
      <c r="H1667" s="1"/>
      <c r="I1667" s="1"/>
      <c r="J1667" s="1"/>
      <c r="O1667" s="1"/>
    </row>
    <row r="1668" spans="1:17" ht="15.75" customHeight="1">
      <c r="A1668" s="1"/>
      <c r="B1668" s="1"/>
      <c r="C1668" s="1"/>
      <c r="D1668" s="1"/>
      <c r="E1668" s="1"/>
      <c r="F1668" s="2"/>
      <c r="H1668" s="1"/>
      <c r="I1668" s="1"/>
      <c r="J1668" s="1"/>
      <c r="K1668" s="1"/>
      <c r="O1668" s="1"/>
    </row>
    <row r="1669" spans="1:17" ht="15.75" customHeight="1">
      <c r="A1669" s="1"/>
      <c r="B1669" s="1"/>
      <c r="C1669" s="1"/>
      <c r="D1669" s="1"/>
      <c r="E1669" s="1"/>
      <c r="F1669" s="1"/>
      <c r="H1669" s="1"/>
      <c r="I1669" s="1"/>
      <c r="J1669" s="1"/>
      <c r="K1669" s="1"/>
      <c r="O1669" s="1"/>
    </row>
    <row r="1670" spans="1:17" ht="15.75" customHeight="1">
      <c r="A1670" s="1"/>
      <c r="B1670" s="1"/>
      <c r="C1670" s="1"/>
      <c r="D1670" s="1"/>
      <c r="E1670" s="1"/>
      <c r="F1670" s="1"/>
      <c r="H1670" s="1"/>
      <c r="I1670" s="1"/>
      <c r="J1670" s="1"/>
      <c r="K1670" s="1"/>
      <c r="O1670" s="1"/>
    </row>
    <row r="1671" spans="1:17" ht="15.75" customHeight="1">
      <c r="A1671" s="1"/>
      <c r="B1671" s="1"/>
      <c r="C1671" s="1"/>
      <c r="D1671" s="1"/>
      <c r="E1671" s="1"/>
      <c r="F1671" s="1"/>
      <c r="H1671" s="1"/>
      <c r="I1671" s="1"/>
      <c r="J1671" s="1"/>
      <c r="K1671" s="1"/>
      <c r="O1671" s="1"/>
    </row>
    <row r="1672" spans="1:17" ht="15.75" customHeight="1">
      <c r="A1672" s="1"/>
      <c r="B1672" s="1"/>
      <c r="C1672" s="1"/>
      <c r="D1672" s="1"/>
      <c r="E1672" s="1"/>
      <c r="F1672" s="1"/>
      <c r="H1672" s="1"/>
      <c r="I1672" s="1"/>
      <c r="J1672" s="1"/>
      <c r="K1672" s="1"/>
      <c r="O1672" s="1"/>
    </row>
    <row r="1673" spans="1:17" ht="15.75" customHeight="1">
      <c r="A1673" s="1"/>
      <c r="B1673" s="1"/>
      <c r="C1673" s="1"/>
      <c r="D1673" s="1"/>
      <c r="E1673" s="1"/>
      <c r="F1673" s="1"/>
      <c r="G1673" s="1"/>
      <c r="H1673" s="1"/>
      <c r="I1673" s="1"/>
      <c r="J1673" s="1"/>
      <c r="K1673" s="1"/>
      <c r="L1673" s="1"/>
      <c r="M1673" s="1"/>
      <c r="N1673" s="1"/>
      <c r="O1673" s="1"/>
      <c r="P1673" s="5"/>
    </row>
    <row r="1674" spans="1:17" ht="15.75" customHeight="1">
      <c r="A1674" s="6"/>
      <c r="B1674" s="6"/>
      <c r="C1674" s="6"/>
      <c r="D1674" s="6"/>
      <c r="E1674" s="6"/>
      <c r="F1674" s="6"/>
      <c r="G1674" s="7"/>
      <c r="H1674" s="6"/>
      <c r="I1674" s="6"/>
      <c r="J1674" s="7"/>
      <c r="K1674" s="7"/>
      <c r="L1674" s="7"/>
      <c r="M1674" s="7"/>
      <c r="N1674" s="7"/>
      <c r="O1674" s="6"/>
      <c r="P1674" s="7"/>
      <c r="Q1674" s="7"/>
    </row>
    <row r="1675" spans="1:17" ht="15.75" customHeight="1">
      <c r="A1675" s="1"/>
      <c r="B1675" s="1"/>
      <c r="C1675" s="1"/>
      <c r="D1675" s="1"/>
      <c r="E1675" s="1"/>
      <c r="F1675" s="1"/>
      <c r="H1675" s="1"/>
      <c r="I1675" s="1"/>
      <c r="J1675" s="1"/>
      <c r="K1675" s="1"/>
      <c r="O1675" s="1"/>
    </row>
    <row r="1676" spans="1:17" ht="15.75" customHeight="1">
      <c r="A1676" s="1"/>
      <c r="B1676" s="1"/>
      <c r="C1676" s="1"/>
      <c r="D1676" s="1"/>
      <c r="E1676" s="1"/>
      <c r="F1676" s="1"/>
      <c r="H1676" s="1"/>
      <c r="I1676" s="1"/>
      <c r="J1676" s="1"/>
      <c r="K1676" s="1"/>
      <c r="O1676" s="1"/>
    </row>
    <row r="1677" spans="1:17" ht="15.75" customHeight="1">
      <c r="A1677" s="1"/>
      <c r="B1677" s="1"/>
      <c r="C1677" s="1"/>
      <c r="D1677" s="1"/>
      <c r="E1677" s="1"/>
      <c r="F1677" s="1"/>
      <c r="H1677" s="1"/>
      <c r="I1677" s="1"/>
      <c r="J1677" s="1"/>
      <c r="K1677" s="1"/>
      <c r="O1677" s="1"/>
    </row>
    <row r="1678" spans="1:17" ht="15.75" customHeight="1">
      <c r="A1678" s="1"/>
      <c r="B1678" s="1"/>
      <c r="C1678" s="1"/>
      <c r="D1678" s="1"/>
      <c r="E1678" s="1"/>
      <c r="F1678" s="1"/>
      <c r="H1678" s="1"/>
      <c r="I1678" s="1"/>
      <c r="J1678" s="1"/>
      <c r="K1678" s="1"/>
      <c r="O1678" s="1"/>
    </row>
    <row r="1679" spans="1:17" ht="15.75" customHeight="1">
      <c r="A1679" s="1"/>
      <c r="B1679" s="1"/>
      <c r="C1679" s="1"/>
      <c r="D1679" s="1"/>
      <c r="E1679" s="1"/>
      <c r="F1679" s="1"/>
      <c r="H1679" s="1"/>
      <c r="I1679" s="1"/>
      <c r="J1679" s="1"/>
      <c r="K1679" s="1"/>
      <c r="O1679" s="1"/>
    </row>
    <row r="1680" spans="1:17" ht="15.75" customHeight="1">
      <c r="A1680" s="1"/>
      <c r="B1680" s="1"/>
      <c r="C1680" s="1"/>
      <c r="D1680" s="1"/>
      <c r="E1680" s="1"/>
      <c r="F1680" s="1"/>
      <c r="G1680" s="1"/>
      <c r="H1680" s="1"/>
      <c r="I1680" s="1"/>
      <c r="J1680" s="1"/>
      <c r="K1680" s="1"/>
    </row>
    <row r="1681" spans="1:15" ht="15.75" customHeight="1">
      <c r="A1681" s="1"/>
      <c r="B1681" s="1"/>
      <c r="C1681" s="1"/>
      <c r="D1681" s="1"/>
      <c r="E1681" s="1"/>
      <c r="F1681" s="1"/>
      <c r="H1681" s="1"/>
      <c r="I1681" s="1"/>
      <c r="J1681" s="1"/>
      <c r="K1681" s="1"/>
      <c r="O1681" s="1"/>
    </row>
    <row r="1682" spans="1:15" ht="15.75" customHeight="1">
      <c r="A1682" s="1"/>
      <c r="B1682" s="1"/>
      <c r="C1682" s="1"/>
      <c r="D1682" s="1"/>
      <c r="E1682" s="1"/>
      <c r="F1682" s="1"/>
      <c r="H1682" s="1"/>
      <c r="I1682" s="1"/>
      <c r="J1682" s="1"/>
      <c r="K1682" s="1"/>
      <c r="O1682" s="1"/>
    </row>
    <row r="1683" spans="1:15" ht="15.75" customHeight="1">
      <c r="A1683" s="1"/>
      <c r="B1683" s="1"/>
      <c r="C1683" s="1"/>
      <c r="D1683" s="1"/>
      <c r="E1683" s="1"/>
      <c r="F1683" s="1"/>
      <c r="H1683" s="1"/>
      <c r="I1683" s="1"/>
      <c r="J1683" s="1"/>
      <c r="K1683" s="1"/>
    </row>
    <row r="1684" spans="1:15" ht="15.75" customHeight="1">
      <c r="A1684" s="1"/>
      <c r="B1684" s="1"/>
      <c r="C1684" s="1"/>
      <c r="D1684" s="1"/>
      <c r="E1684" s="1"/>
      <c r="F1684" s="1"/>
      <c r="H1684" s="1"/>
      <c r="I1684" s="1"/>
      <c r="J1684" s="1"/>
      <c r="K1684" s="1"/>
      <c r="O1684" s="1"/>
    </row>
    <row r="1685" spans="1:15" ht="15.75" customHeight="1">
      <c r="A1685" s="1"/>
      <c r="B1685" s="1"/>
      <c r="C1685" s="1"/>
      <c r="D1685" s="1"/>
      <c r="E1685" s="1"/>
      <c r="F1685" s="1"/>
      <c r="H1685" s="1"/>
      <c r="I1685" s="1"/>
      <c r="K1685" s="1"/>
      <c r="O1685" s="1"/>
    </row>
    <row r="1686" spans="1:15" ht="15.75" customHeight="1">
      <c r="A1686" s="1"/>
      <c r="B1686" s="1"/>
      <c r="C1686" s="1"/>
      <c r="D1686" s="1"/>
      <c r="E1686" s="1"/>
      <c r="F1686" s="1"/>
      <c r="H1686" s="1"/>
      <c r="I1686" s="1"/>
      <c r="J1686" s="1"/>
      <c r="K1686" s="1"/>
      <c r="O1686" s="1"/>
    </row>
    <row r="1687" spans="1:15" ht="15.75" customHeight="1">
      <c r="A1687" s="1"/>
      <c r="B1687" s="1"/>
      <c r="C1687" s="1"/>
      <c r="D1687" s="1"/>
      <c r="E1687" s="1"/>
      <c r="F1687" s="1"/>
      <c r="H1687" s="1"/>
      <c r="I1687" s="1"/>
      <c r="J1687" s="1"/>
      <c r="K1687" s="1"/>
      <c r="O1687" s="1"/>
    </row>
    <row r="1688" spans="1:15" ht="15.75" customHeight="1">
      <c r="A1688" s="1"/>
      <c r="B1688" s="1"/>
      <c r="C1688" s="1"/>
      <c r="D1688" s="1"/>
      <c r="E1688" s="1"/>
      <c r="F1688" s="1"/>
      <c r="H1688" s="1"/>
      <c r="I1688" s="1"/>
      <c r="J1688" s="1"/>
      <c r="K1688" s="1"/>
      <c r="O1688" s="1"/>
    </row>
    <row r="1689" spans="1:15" ht="15.75" customHeight="1">
      <c r="A1689" s="1"/>
      <c r="B1689" s="1"/>
      <c r="C1689" s="1"/>
      <c r="D1689" s="1"/>
      <c r="E1689" s="1"/>
      <c r="F1689" s="1"/>
      <c r="H1689" s="1"/>
      <c r="I1689" s="1"/>
      <c r="J1689" s="1"/>
      <c r="K1689" s="1"/>
      <c r="O1689" s="1"/>
    </row>
    <row r="1690" spans="1:15" ht="15.75" customHeight="1">
      <c r="A1690" s="1"/>
      <c r="B1690" s="1"/>
      <c r="C1690" s="1"/>
      <c r="D1690" s="1"/>
      <c r="E1690" s="1"/>
      <c r="F1690" s="1"/>
      <c r="H1690" s="1"/>
      <c r="I1690" s="1"/>
      <c r="J1690" s="1"/>
      <c r="K1690" s="1"/>
      <c r="O1690" s="1"/>
    </row>
    <row r="1691" spans="1:15" ht="15.75" customHeight="1">
      <c r="A1691" s="1"/>
      <c r="B1691" s="1"/>
      <c r="C1691" s="1"/>
      <c r="D1691" s="1"/>
      <c r="E1691" s="1"/>
      <c r="F1691" s="1"/>
      <c r="G1691" s="1"/>
      <c r="H1691" s="1"/>
      <c r="I1691" s="1"/>
      <c r="J1691" s="1"/>
      <c r="O1691" s="1"/>
    </row>
    <row r="1692" spans="1:15" ht="15.75" customHeight="1">
      <c r="A1692" s="1"/>
      <c r="B1692" s="1"/>
      <c r="C1692" s="1"/>
      <c r="D1692" s="1"/>
      <c r="E1692" s="1"/>
      <c r="F1692" s="1"/>
      <c r="H1692" s="1"/>
      <c r="I1692" s="1"/>
      <c r="J1692" s="1"/>
      <c r="O1692" s="1"/>
    </row>
    <row r="1693" spans="1:15" ht="15.75" customHeight="1">
      <c r="A1693" s="1"/>
      <c r="B1693" s="1"/>
      <c r="C1693" s="1"/>
      <c r="D1693" s="1"/>
      <c r="E1693" s="1"/>
      <c r="F1693" s="1"/>
      <c r="H1693" s="1"/>
      <c r="I1693" s="1"/>
      <c r="J1693" s="1"/>
      <c r="K1693" s="1"/>
      <c r="O1693" s="1"/>
    </row>
    <row r="1694" spans="1:15" ht="15.75" customHeight="1">
      <c r="A1694" s="1"/>
      <c r="B1694" s="1"/>
      <c r="C1694" s="1"/>
      <c r="D1694" s="1"/>
      <c r="E1694" s="1"/>
      <c r="F1694" s="1"/>
      <c r="H1694" s="1"/>
      <c r="I1694" s="1"/>
      <c r="J1694" s="1"/>
      <c r="K1694" s="1"/>
      <c r="O1694" s="1"/>
    </row>
    <row r="1695" spans="1:15" ht="15.75" customHeight="1">
      <c r="A1695" s="1"/>
      <c r="B1695" s="1"/>
      <c r="C1695" s="1"/>
      <c r="D1695" s="1"/>
      <c r="E1695" s="1"/>
      <c r="F1695" s="1"/>
      <c r="H1695" s="1"/>
      <c r="I1695" s="1"/>
      <c r="K1695" s="1"/>
      <c r="O1695" s="1"/>
    </row>
    <row r="1696" spans="1:15" ht="15.75" customHeight="1">
      <c r="A1696" s="1"/>
      <c r="B1696" s="1"/>
      <c r="C1696" s="1"/>
      <c r="D1696" s="1"/>
      <c r="E1696" s="1"/>
      <c r="F1696" s="1"/>
      <c r="H1696" s="1"/>
      <c r="I1696" s="1"/>
      <c r="J1696" s="1"/>
      <c r="O1696" s="1"/>
    </row>
    <row r="1697" spans="1:15" ht="15.75" customHeight="1">
      <c r="A1697" s="1"/>
      <c r="B1697" s="1"/>
      <c r="C1697" s="1"/>
      <c r="D1697" s="1"/>
      <c r="E1697" s="1"/>
      <c r="F1697" s="1"/>
      <c r="H1697" s="1"/>
      <c r="I1697" s="1"/>
      <c r="J1697" s="1"/>
      <c r="K1697" s="1"/>
      <c r="O1697" s="1"/>
    </row>
    <row r="1698" spans="1:15" ht="15.75" customHeight="1">
      <c r="A1698" s="1"/>
      <c r="B1698" s="1"/>
      <c r="C1698" s="1"/>
      <c r="D1698" s="1"/>
      <c r="E1698" s="1"/>
      <c r="F1698" s="1"/>
      <c r="G1698" s="1"/>
      <c r="H1698" s="1"/>
      <c r="I1698" s="1"/>
      <c r="J1698" s="1"/>
      <c r="O1698" s="1"/>
    </row>
    <row r="1699" spans="1:15" ht="15.75" customHeight="1">
      <c r="A1699" s="1"/>
      <c r="B1699" s="1"/>
      <c r="C1699" s="1"/>
      <c r="D1699" s="1"/>
      <c r="E1699" s="1"/>
      <c r="F1699" s="1"/>
      <c r="H1699" s="1"/>
      <c r="I1699" s="1"/>
      <c r="J1699" s="1"/>
      <c r="K1699" s="1"/>
      <c r="O1699" s="1"/>
    </row>
    <row r="1700" spans="1:15" ht="15.75" customHeight="1">
      <c r="A1700" s="1"/>
      <c r="B1700" s="1"/>
      <c r="C1700" s="1"/>
      <c r="D1700" s="1"/>
      <c r="E1700" s="1"/>
      <c r="F1700" s="1"/>
      <c r="H1700" s="1"/>
      <c r="I1700" s="1"/>
      <c r="J1700" s="1"/>
      <c r="K1700" s="1"/>
      <c r="O1700" s="1"/>
    </row>
    <row r="1701" spans="1:15" ht="15.75" customHeight="1">
      <c r="A1701" s="1"/>
      <c r="B1701" s="1"/>
      <c r="C1701" s="1"/>
      <c r="D1701" s="1"/>
      <c r="E1701" s="1"/>
      <c r="F1701" s="1"/>
      <c r="G1701" s="1"/>
      <c r="H1701" s="1"/>
      <c r="I1701" s="1"/>
      <c r="J1701" s="1"/>
      <c r="K1701" s="1"/>
    </row>
    <row r="1702" spans="1:15" ht="15.75" customHeight="1">
      <c r="A1702" s="1"/>
      <c r="B1702" s="1"/>
      <c r="C1702" s="1"/>
      <c r="D1702" s="1"/>
      <c r="E1702" s="1"/>
      <c r="F1702" s="1"/>
      <c r="H1702" s="1"/>
      <c r="I1702" s="1"/>
      <c r="J1702" s="1"/>
      <c r="K1702" s="1"/>
      <c r="O1702" s="1"/>
    </row>
    <row r="1703" spans="1:15" ht="15.75" customHeight="1">
      <c r="A1703" s="1"/>
      <c r="B1703" s="1"/>
      <c r="C1703" s="1"/>
      <c r="D1703" s="1"/>
      <c r="E1703" s="1"/>
      <c r="F1703" s="1"/>
      <c r="H1703" s="1"/>
      <c r="I1703" s="1"/>
      <c r="J1703" s="1"/>
      <c r="K1703" s="1"/>
      <c r="O1703" s="1"/>
    </row>
    <row r="1704" spans="1:15" ht="15.75" customHeight="1">
      <c r="A1704" s="1"/>
      <c r="B1704" s="1"/>
      <c r="C1704" s="1"/>
      <c r="D1704" s="1"/>
      <c r="E1704" s="1"/>
      <c r="F1704" s="1"/>
      <c r="G1704" s="1"/>
      <c r="H1704" s="1"/>
      <c r="I1704" s="1"/>
      <c r="J1704" s="1"/>
      <c r="O1704" s="1"/>
    </row>
    <row r="1705" spans="1:15" ht="15.75" customHeight="1">
      <c r="A1705" s="1"/>
      <c r="B1705" s="1"/>
      <c r="C1705" s="1"/>
      <c r="D1705" s="1"/>
      <c r="E1705" s="1"/>
      <c r="F1705" s="1"/>
      <c r="H1705" s="1"/>
      <c r="I1705" s="1"/>
      <c r="J1705" s="1"/>
      <c r="O1705" s="1"/>
    </row>
    <row r="1706" spans="1:15" ht="15.75" customHeight="1">
      <c r="A1706" s="1"/>
      <c r="B1706" s="1"/>
      <c r="C1706" s="1"/>
      <c r="D1706" s="1"/>
      <c r="E1706" s="1"/>
      <c r="F1706" s="1"/>
      <c r="H1706" s="1"/>
      <c r="I1706" s="1"/>
      <c r="J1706" s="1"/>
      <c r="K1706" s="1"/>
      <c r="O1706" s="1"/>
    </row>
    <row r="1707" spans="1:15" ht="15.75" customHeight="1">
      <c r="A1707" s="1"/>
      <c r="B1707" s="1"/>
      <c r="C1707" s="1"/>
      <c r="D1707" s="1"/>
      <c r="E1707" s="1"/>
      <c r="F1707" s="1"/>
      <c r="H1707" s="1"/>
      <c r="I1707" s="1"/>
      <c r="J1707" s="1"/>
      <c r="K1707" s="1"/>
      <c r="O1707" s="1"/>
    </row>
    <row r="1708" spans="1:15" ht="15.75" customHeight="1">
      <c r="A1708" s="1"/>
      <c r="B1708" s="1"/>
      <c r="C1708" s="1"/>
      <c r="D1708" s="1"/>
      <c r="E1708" s="1"/>
      <c r="F1708" s="1"/>
      <c r="G1708" s="1"/>
      <c r="H1708" s="1"/>
      <c r="I1708" s="1"/>
      <c r="K1708" s="1"/>
      <c r="O1708" s="1"/>
    </row>
    <row r="1709" spans="1:15" ht="15.75" customHeight="1">
      <c r="A1709" s="1"/>
      <c r="B1709" s="1"/>
      <c r="C1709" s="1"/>
      <c r="D1709" s="1"/>
      <c r="E1709" s="1"/>
      <c r="F1709" s="1"/>
      <c r="H1709" s="1"/>
      <c r="I1709" s="1"/>
      <c r="K1709" s="1"/>
      <c r="O1709" s="1"/>
    </row>
    <row r="1710" spans="1:15" ht="15.75" customHeight="1">
      <c r="A1710" s="1"/>
      <c r="B1710" s="1"/>
      <c r="C1710" s="1"/>
      <c r="D1710" s="1"/>
      <c r="E1710" s="1"/>
      <c r="F1710" s="1"/>
      <c r="H1710" s="1"/>
      <c r="I1710" s="1"/>
      <c r="J1710" s="1"/>
      <c r="K1710" s="1"/>
      <c r="O1710" s="1"/>
    </row>
    <row r="1711" spans="1:15" ht="15.75" customHeight="1">
      <c r="A1711" s="1"/>
      <c r="B1711" s="1"/>
      <c r="C1711" s="1"/>
      <c r="D1711" s="1"/>
      <c r="E1711" s="1"/>
      <c r="F1711" s="1"/>
      <c r="G1711" s="1"/>
      <c r="H1711" s="1"/>
      <c r="I1711" s="1"/>
      <c r="J1711" s="1"/>
      <c r="O1711" s="1"/>
    </row>
    <row r="1712" spans="1:15" ht="15.75" customHeight="1">
      <c r="A1712" s="1"/>
      <c r="B1712" s="1"/>
      <c r="C1712" s="1"/>
      <c r="D1712" s="1"/>
      <c r="E1712" s="1"/>
      <c r="F1712" s="1"/>
      <c r="H1712" s="1"/>
      <c r="I1712" s="1"/>
      <c r="O1712" s="1"/>
    </row>
    <row r="1713" spans="1:16" ht="15.75" customHeight="1">
      <c r="A1713" s="1"/>
      <c r="B1713" s="1"/>
      <c r="C1713" s="1"/>
      <c r="D1713" s="1"/>
      <c r="E1713" s="1"/>
      <c r="F1713" s="1"/>
      <c r="H1713" s="1"/>
      <c r="I1713" s="1"/>
      <c r="J1713" s="1"/>
      <c r="K1713" s="1"/>
      <c r="O1713" s="1"/>
    </row>
    <row r="1714" spans="1:16" ht="15.75" customHeight="1">
      <c r="A1714" s="1"/>
      <c r="B1714" s="1"/>
      <c r="C1714" s="1"/>
      <c r="D1714" s="1"/>
      <c r="F1714" s="1"/>
      <c r="H1714" s="1"/>
      <c r="I1714" s="1"/>
      <c r="J1714" s="1"/>
      <c r="K1714" s="1"/>
      <c r="O1714" s="1"/>
    </row>
    <row r="1715" spans="1:16" ht="15.75" customHeight="1">
      <c r="A1715" s="1"/>
      <c r="B1715" s="1"/>
      <c r="C1715" s="1"/>
      <c r="D1715" s="1"/>
      <c r="E1715" s="1"/>
      <c r="F1715" s="1"/>
      <c r="H1715" s="1"/>
      <c r="I1715" s="1"/>
      <c r="K1715" s="1"/>
      <c r="O1715" s="1"/>
    </row>
    <row r="1716" spans="1:16" ht="15.75" customHeight="1">
      <c r="A1716" s="1"/>
      <c r="B1716" s="1"/>
      <c r="C1716" s="1"/>
      <c r="D1716" s="1"/>
      <c r="E1716" s="1"/>
      <c r="F1716" s="1"/>
      <c r="H1716" s="1"/>
      <c r="I1716" s="1"/>
      <c r="J1716" s="1"/>
      <c r="K1716" s="1"/>
      <c r="O1716" s="1"/>
    </row>
    <row r="1717" spans="1:16" ht="15.75" customHeight="1">
      <c r="A1717" s="1"/>
      <c r="B1717" s="1"/>
      <c r="C1717" s="1"/>
      <c r="D1717" s="1"/>
      <c r="E1717" s="1"/>
      <c r="F1717" s="1"/>
      <c r="H1717" s="1"/>
      <c r="I1717" s="1"/>
      <c r="J1717" s="1"/>
      <c r="K1717" s="1"/>
      <c r="O1717" s="1"/>
    </row>
    <row r="1718" spans="1:16" ht="15.75" customHeight="1">
      <c r="A1718" s="1"/>
      <c r="B1718" s="1"/>
      <c r="C1718" s="1"/>
      <c r="D1718" s="1"/>
      <c r="F1718" s="1"/>
      <c r="H1718" s="1"/>
      <c r="I1718" s="1"/>
      <c r="J1718" s="1"/>
      <c r="K1718" s="1"/>
      <c r="O1718" s="1"/>
    </row>
    <row r="1719" spans="1:16" ht="15.75" customHeight="1">
      <c r="A1719" s="1"/>
      <c r="B1719" s="1"/>
      <c r="C1719" s="1"/>
      <c r="D1719" s="1"/>
      <c r="E1719" s="1"/>
      <c r="F1719" s="1"/>
      <c r="H1719" s="1"/>
      <c r="I1719" s="1"/>
      <c r="J1719" s="1"/>
      <c r="K1719" s="1"/>
      <c r="O1719" s="1"/>
    </row>
    <row r="1720" spans="1:16" ht="15.75" customHeight="1">
      <c r="A1720" s="1"/>
      <c r="B1720" s="1"/>
      <c r="C1720" s="1"/>
      <c r="D1720" s="1"/>
      <c r="E1720" s="1"/>
      <c r="F1720" s="1"/>
      <c r="H1720" s="1"/>
      <c r="I1720" s="1"/>
      <c r="J1720" s="1"/>
      <c r="K1720" s="1"/>
      <c r="O1720" s="1"/>
    </row>
    <row r="1721" spans="1:16" ht="15.75" customHeight="1">
      <c r="A1721" s="1"/>
      <c r="B1721" s="1"/>
      <c r="C1721" s="1"/>
      <c r="D1721" s="1"/>
      <c r="E1721" s="1"/>
      <c r="F1721" s="1"/>
      <c r="G1721" s="1"/>
      <c r="H1721" s="1"/>
      <c r="I1721" s="1"/>
      <c r="J1721" s="1"/>
      <c r="K1721" s="1"/>
      <c r="L1721" s="1"/>
      <c r="M1721" s="1"/>
      <c r="N1721" s="1"/>
      <c r="O1721" s="1"/>
      <c r="P1721" s="5"/>
    </row>
    <row r="1722" spans="1:16" ht="15.75" customHeight="1">
      <c r="A1722" s="1"/>
      <c r="B1722" s="1"/>
      <c r="C1722" s="1"/>
      <c r="D1722" s="1"/>
      <c r="E1722" s="1"/>
      <c r="F1722" s="1"/>
      <c r="H1722" s="1"/>
      <c r="I1722" s="1"/>
      <c r="J1722" s="1"/>
      <c r="K1722" s="1"/>
      <c r="O1722" s="1"/>
    </row>
    <row r="1723" spans="1:16" ht="15.75" customHeight="1">
      <c r="A1723" s="1"/>
      <c r="B1723" s="1"/>
      <c r="C1723" s="1"/>
      <c r="D1723" s="1"/>
      <c r="E1723" s="1"/>
      <c r="F1723" s="1"/>
      <c r="H1723" s="1"/>
      <c r="I1723" s="1"/>
      <c r="J1723" s="1"/>
      <c r="K1723" s="1"/>
      <c r="O1723" s="1"/>
    </row>
    <row r="1724" spans="1:16" ht="15.75" customHeight="1">
      <c r="A1724" s="1"/>
      <c r="B1724" s="1"/>
      <c r="C1724" s="1"/>
      <c r="D1724" s="1"/>
      <c r="E1724" s="1"/>
      <c r="F1724" s="1"/>
      <c r="H1724" s="1"/>
      <c r="I1724" s="1"/>
      <c r="J1724" s="1"/>
      <c r="K1724" s="1"/>
      <c r="O1724" s="1"/>
    </row>
    <row r="1725" spans="1:16" ht="15.75" customHeight="1">
      <c r="A1725" s="1"/>
      <c r="B1725" s="1"/>
      <c r="C1725" s="1"/>
      <c r="D1725" s="1"/>
      <c r="E1725" s="1"/>
      <c r="F1725" s="1"/>
      <c r="H1725" s="1"/>
      <c r="I1725" s="1"/>
      <c r="J1725" s="1"/>
      <c r="K1725" s="1"/>
      <c r="O1725" s="1"/>
    </row>
    <row r="1726" spans="1:16" ht="15.75" customHeight="1">
      <c r="A1726" s="1"/>
      <c r="B1726" s="1"/>
      <c r="C1726" s="1"/>
      <c r="D1726" s="1"/>
      <c r="F1726" s="1"/>
      <c r="H1726" s="1"/>
      <c r="I1726" s="1"/>
      <c r="J1726" s="1"/>
      <c r="K1726" s="1"/>
      <c r="O1726" s="1"/>
    </row>
    <row r="1727" spans="1:16" ht="15.75" customHeight="1">
      <c r="A1727" s="1"/>
      <c r="B1727" s="1"/>
      <c r="C1727" s="1"/>
      <c r="D1727" s="1"/>
      <c r="E1727" s="1"/>
      <c r="F1727" s="1"/>
      <c r="H1727" s="1"/>
      <c r="I1727" s="1"/>
      <c r="J1727" s="1"/>
      <c r="O1727" s="1"/>
    </row>
    <row r="1728" spans="1:16" ht="15.75" customHeight="1">
      <c r="A1728" s="1"/>
      <c r="B1728" s="1"/>
      <c r="C1728" s="1"/>
      <c r="D1728" s="1"/>
      <c r="E1728" s="1"/>
      <c r="F1728" s="1"/>
      <c r="H1728" s="1"/>
      <c r="I1728" s="1"/>
      <c r="J1728" s="1"/>
      <c r="K1728" s="1"/>
      <c r="O1728" s="1"/>
    </row>
    <row r="1729" spans="1:15" ht="15.75" customHeight="1">
      <c r="A1729" s="1"/>
      <c r="B1729" s="1"/>
      <c r="C1729" s="1"/>
      <c r="D1729" s="1"/>
      <c r="E1729" s="1"/>
      <c r="F1729" s="1"/>
      <c r="H1729" s="1"/>
      <c r="I1729" s="1"/>
      <c r="J1729" s="1"/>
      <c r="K1729" s="1"/>
      <c r="O1729" s="1"/>
    </row>
    <row r="1730" spans="1:15" ht="15.75" customHeight="1">
      <c r="A1730" s="1"/>
      <c r="B1730" s="1"/>
      <c r="C1730" s="1"/>
      <c r="D1730" s="1"/>
      <c r="E1730" s="1"/>
      <c r="F1730" s="1"/>
      <c r="H1730" s="1"/>
      <c r="I1730" s="1"/>
      <c r="J1730" s="1"/>
      <c r="K1730" s="1"/>
      <c r="O1730" s="1"/>
    </row>
    <row r="1731" spans="1:15" ht="15.75" customHeight="1">
      <c r="A1731" s="1"/>
      <c r="B1731" s="1"/>
      <c r="C1731" s="1"/>
      <c r="D1731" s="1"/>
      <c r="E1731" s="1"/>
      <c r="F1731" s="1"/>
      <c r="H1731" s="1"/>
      <c r="I1731" s="1"/>
      <c r="J1731" s="1"/>
      <c r="K1731" s="1"/>
      <c r="O1731" s="1"/>
    </row>
    <row r="1732" spans="1:15" ht="15.75" customHeight="1">
      <c r="A1732" s="1"/>
      <c r="B1732" s="1"/>
      <c r="C1732" s="1"/>
      <c r="D1732" s="1"/>
      <c r="E1732" s="1"/>
      <c r="F1732" s="1"/>
      <c r="H1732" s="1"/>
      <c r="I1732" s="1"/>
      <c r="J1732" s="1"/>
      <c r="K1732" s="1"/>
      <c r="O1732" s="1"/>
    </row>
    <row r="1733" spans="1:15" ht="15.75" customHeight="1">
      <c r="A1733" s="1"/>
      <c r="B1733" s="1"/>
      <c r="C1733" s="1"/>
      <c r="D1733" s="1"/>
      <c r="E1733" s="1"/>
      <c r="F1733" s="1"/>
      <c r="H1733" s="1"/>
      <c r="I1733" s="1"/>
      <c r="J1733" s="1"/>
      <c r="K1733" s="1"/>
      <c r="O1733" s="1"/>
    </row>
    <row r="1734" spans="1:15" ht="15.75" customHeight="1">
      <c r="A1734" s="1"/>
      <c r="B1734" s="1"/>
      <c r="C1734" s="1"/>
      <c r="D1734" s="1"/>
      <c r="E1734" s="1"/>
      <c r="F1734" s="1"/>
      <c r="G1734" s="1"/>
      <c r="H1734" s="1"/>
      <c r="I1734" s="1"/>
      <c r="J1734" s="1"/>
      <c r="K1734" s="1"/>
      <c r="O1734" s="1"/>
    </row>
    <row r="1735" spans="1:15" ht="15.75" customHeight="1">
      <c r="A1735" s="1"/>
      <c r="B1735" s="1"/>
      <c r="C1735" s="1"/>
      <c r="D1735" s="1"/>
      <c r="E1735" s="1"/>
      <c r="F1735" s="1"/>
      <c r="H1735" s="1"/>
      <c r="I1735" s="1"/>
      <c r="J1735" s="1"/>
      <c r="K1735" s="1"/>
      <c r="O1735" s="1"/>
    </row>
    <row r="1736" spans="1:15" ht="15.75" customHeight="1">
      <c r="A1736" s="1"/>
      <c r="B1736" s="1"/>
      <c r="C1736" s="1"/>
      <c r="D1736" s="1"/>
      <c r="E1736" s="1"/>
      <c r="F1736" s="1"/>
      <c r="G1736" s="1"/>
      <c r="H1736" s="1"/>
      <c r="I1736" s="1"/>
      <c r="J1736" s="1"/>
      <c r="O1736" s="1"/>
    </row>
    <row r="1737" spans="1:15" ht="15.75" customHeight="1">
      <c r="A1737" s="1"/>
      <c r="B1737" s="1"/>
      <c r="C1737" s="1"/>
      <c r="D1737" s="1"/>
      <c r="E1737" s="1"/>
      <c r="F1737" s="1"/>
      <c r="H1737" s="1"/>
      <c r="I1737" s="1"/>
      <c r="J1737" s="1"/>
      <c r="K1737" s="1"/>
      <c r="O1737" s="1"/>
    </row>
    <row r="1738" spans="1:15" ht="15.75" customHeight="1">
      <c r="A1738" s="1"/>
      <c r="B1738" s="1"/>
      <c r="C1738" s="1"/>
      <c r="D1738" s="1"/>
      <c r="E1738" s="1"/>
      <c r="F1738" s="1"/>
      <c r="H1738" s="1"/>
      <c r="I1738" s="1"/>
      <c r="O1738" s="1"/>
    </row>
    <row r="1739" spans="1:15" ht="15.75" customHeight="1">
      <c r="A1739" s="1"/>
      <c r="B1739" s="1"/>
      <c r="C1739" s="1"/>
      <c r="D1739" s="1"/>
      <c r="E1739" s="1"/>
      <c r="F1739" s="1"/>
      <c r="H1739" s="1"/>
      <c r="I1739" s="1"/>
      <c r="K1739" s="1"/>
      <c r="O1739" s="1"/>
    </row>
    <row r="1740" spans="1:15" ht="15.75" customHeight="1">
      <c r="A1740" s="1"/>
      <c r="B1740" s="1"/>
      <c r="C1740" s="1"/>
      <c r="D1740" s="1"/>
      <c r="E1740" s="1"/>
      <c r="F1740" s="1"/>
      <c r="H1740" s="1"/>
      <c r="I1740" s="1"/>
      <c r="J1740" s="1"/>
      <c r="O1740" s="1"/>
    </row>
    <row r="1741" spans="1:15" ht="15.75" customHeight="1">
      <c r="A1741" s="1"/>
      <c r="B1741" s="1"/>
      <c r="C1741" s="1"/>
      <c r="D1741" s="1"/>
      <c r="E1741" s="1"/>
      <c r="F1741" s="1"/>
      <c r="H1741" s="1"/>
      <c r="I1741" s="1"/>
      <c r="J1741" s="1"/>
      <c r="K1741" s="1"/>
      <c r="O1741" s="1"/>
    </row>
    <row r="1742" spans="1:15" ht="15.75" customHeight="1">
      <c r="A1742" s="1"/>
      <c r="B1742" s="1"/>
      <c r="C1742" s="1"/>
      <c r="D1742" s="1"/>
      <c r="E1742" s="1"/>
      <c r="F1742" s="1"/>
      <c r="H1742" s="1"/>
      <c r="I1742" s="1"/>
      <c r="K1742" s="1"/>
      <c r="O1742" s="1"/>
    </row>
    <row r="1743" spans="1:15" ht="15.75" customHeight="1">
      <c r="A1743" s="1"/>
      <c r="B1743" s="1"/>
      <c r="C1743" s="1"/>
      <c r="D1743" s="1"/>
      <c r="E1743" s="1"/>
      <c r="F1743" s="1"/>
      <c r="H1743" s="1"/>
      <c r="I1743" s="1"/>
      <c r="J1743" s="1"/>
      <c r="K1743" s="1"/>
      <c r="O1743" s="1"/>
    </row>
    <row r="1744" spans="1:15" ht="15.75" customHeight="1">
      <c r="A1744" s="1"/>
      <c r="B1744" s="1"/>
      <c r="C1744" s="1"/>
      <c r="D1744" s="1"/>
      <c r="E1744" s="1"/>
      <c r="F1744" s="1"/>
      <c r="G1744" s="1"/>
      <c r="H1744" s="1"/>
      <c r="I1744" s="1"/>
      <c r="J1744" s="1"/>
      <c r="K1744" s="1"/>
      <c r="O1744" s="1"/>
    </row>
    <row r="1745" spans="1:16" ht="15.75" customHeight="1">
      <c r="A1745" s="1"/>
      <c r="B1745" s="1"/>
      <c r="C1745" s="1"/>
      <c r="D1745" s="1"/>
      <c r="E1745" s="1"/>
      <c r="F1745" s="1"/>
      <c r="H1745" s="1"/>
      <c r="I1745" s="1"/>
      <c r="J1745" s="1"/>
      <c r="K1745" s="1"/>
      <c r="O1745" s="1"/>
    </row>
    <row r="1746" spans="1:16" ht="15.75" customHeight="1">
      <c r="A1746" s="1"/>
      <c r="B1746" s="1"/>
      <c r="C1746" s="1"/>
      <c r="D1746" s="1"/>
      <c r="E1746" s="1"/>
      <c r="F1746" s="1"/>
      <c r="H1746" s="1"/>
      <c r="I1746" s="1"/>
      <c r="J1746" s="1"/>
      <c r="K1746" s="1"/>
      <c r="O1746" s="1"/>
    </row>
    <row r="1747" spans="1:16" ht="15.75" customHeight="1">
      <c r="A1747" s="1"/>
      <c r="B1747" s="1"/>
      <c r="C1747" s="1"/>
      <c r="D1747" s="1"/>
      <c r="E1747" s="1"/>
      <c r="F1747" s="1"/>
      <c r="H1747" s="1"/>
      <c r="I1747" s="1"/>
      <c r="J1747" s="1"/>
      <c r="K1747" s="1"/>
      <c r="O1747" s="1"/>
    </row>
    <row r="1748" spans="1:16" ht="15.75" customHeight="1">
      <c r="A1748" s="1"/>
      <c r="B1748" s="1"/>
      <c r="C1748" s="1"/>
      <c r="D1748" s="1"/>
      <c r="E1748" s="1"/>
      <c r="F1748" s="1"/>
      <c r="H1748" s="1"/>
      <c r="I1748" s="1"/>
      <c r="J1748" s="1"/>
      <c r="K1748" s="1"/>
      <c r="O1748" s="1"/>
    </row>
    <row r="1749" spans="1:16" ht="15.75" customHeight="1">
      <c r="A1749" s="1"/>
      <c r="B1749" s="1"/>
      <c r="C1749" s="1"/>
      <c r="D1749" s="1"/>
      <c r="E1749" s="1"/>
      <c r="F1749" s="1"/>
      <c r="G1749" s="1"/>
      <c r="H1749" s="1"/>
      <c r="I1749" s="1"/>
      <c r="J1749" s="1"/>
      <c r="K1749" s="1"/>
      <c r="O1749" s="1"/>
    </row>
    <row r="1750" spans="1:16" ht="15.75" customHeight="1">
      <c r="A1750" s="1"/>
      <c r="B1750" s="1"/>
      <c r="C1750" s="1"/>
      <c r="D1750" s="1"/>
      <c r="E1750" s="1"/>
      <c r="F1750" s="1"/>
      <c r="H1750" s="1"/>
      <c r="I1750" s="1"/>
      <c r="J1750" s="1"/>
      <c r="K1750" s="1"/>
      <c r="O1750" s="1"/>
    </row>
    <row r="1751" spans="1:16" ht="15.75" customHeight="1">
      <c r="A1751" s="1"/>
      <c r="B1751" s="1"/>
      <c r="C1751" s="1"/>
      <c r="D1751" s="1"/>
      <c r="E1751" s="1"/>
      <c r="F1751" s="1"/>
      <c r="H1751" s="1"/>
      <c r="I1751" s="1"/>
      <c r="J1751" s="1"/>
      <c r="K1751" s="1"/>
      <c r="O1751" s="1"/>
    </row>
    <row r="1752" spans="1:16" ht="15.75" customHeight="1">
      <c r="A1752" s="1"/>
      <c r="B1752" s="1"/>
      <c r="C1752" s="1"/>
      <c r="D1752" s="1"/>
      <c r="E1752" s="1"/>
      <c r="F1752" s="1"/>
      <c r="H1752" s="1"/>
      <c r="I1752" s="1"/>
      <c r="K1752" s="1"/>
      <c r="O1752" s="1"/>
    </row>
    <row r="1753" spans="1:16" ht="15.75" customHeight="1">
      <c r="A1753" s="1"/>
      <c r="B1753" s="1"/>
      <c r="C1753" s="1"/>
      <c r="D1753" s="1"/>
      <c r="E1753" s="1"/>
      <c r="F1753" s="1"/>
      <c r="H1753" s="1"/>
      <c r="I1753" s="1"/>
      <c r="K1753" s="1"/>
      <c r="O1753" s="1"/>
    </row>
    <row r="1754" spans="1:16" ht="15.75" customHeight="1">
      <c r="A1754" s="1"/>
      <c r="B1754" s="1"/>
      <c r="C1754" s="1"/>
      <c r="D1754" s="1"/>
      <c r="E1754" s="1"/>
      <c r="F1754" s="1"/>
      <c r="H1754" s="1"/>
      <c r="I1754" s="1"/>
      <c r="K1754" s="1"/>
      <c r="O1754" s="1"/>
    </row>
    <row r="1755" spans="1:16" ht="15.75" customHeight="1">
      <c r="A1755" s="1"/>
      <c r="B1755" s="1"/>
      <c r="C1755" s="1"/>
      <c r="D1755" s="1"/>
      <c r="E1755" s="1"/>
      <c r="F1755" s="1"/>
      <c r="H1755" s="1"/>
      <c r="I1755" s="1"/>
      <c r="O1755" s="1"/>
    </row>
    <row r="1756" spans="1:16" ht="15.75" customHeight="1">
      <c r="A1756" s="1"/>
      <c r="B1756" s="1"/>
      <c r="C1756" s="1"/>
      <c r="D1756" s="1"/>
      <c r="E1756" s="1"/>
      <c r="F1756" s="1"/>
      <c r="H1756" s="1"/>
      <c r="I1756" s="1"/>
      <c r="J1756" s="1"/>
      <c r="K1756" s="1"/>
      <c r="O1756" s="1"/>
    </row>
    <row r="1757" spans="1:16" ht="15.75" customHeight="1">
      <c r="A1757" s="1"/>
      <c r="B1757" s="1"/>
      <c r="C1757" s="1"/>
      <c r="D1757" s="1"/>
      <c r="E1757" s="1"/>
      <c r="F1757" s="1"/>
      <c r="H1757" s="1"/>
      <c r="I1757" s="1"/>
      <c r="J1757" s="1"/>
      <c r="K1757" s="1"/>
      <c r="O1757" s="1"/>
    </row>
    <row r="1758" spans="1:16" ht="15.75" customHeight="1">
      <c r="A1758" s="1"/>
      <c r="B1758" s="1"/>
      <c r="C1758" s="1"/>
      <c r="D1758" s="1"/>
      <c r="E1758" s="1"/>
      <c r="F1758" s="1"/>
      <c r="H1758" s="1"/>
      <c r="I1758" s="1"/>
      <c r="K1758" s="1"/>
      <c r="O1758" s="1"/>
    </row>
    <row r="1759" spans="1:16" ht="15.75" customHeight="1">
      <c r="A1759" s="1"/>
      <c r="B1759" s="1"/>
      <c r="C1759" s="1"/>
      <c r="D1759" s="1"/>
      <c r="E1759" s="1"/>
      <c r="F1759" s="1"/>
      <c r="H1759" s="1"/>
      <c r="I1759" s="1"/>
      <c r="J1759" s="1"/>
      <c r="K1759" s="1"/>
    </row>
    <row r="1760" spans="1:16" ht="15.75" customHeight="1">
      <c r="A1760" s="1"/>
      <c r="B1760" s="1"/>
      <c r="C1760" s="1"/>
      <c r="D1760" s="1"/>
      <c r="E1760" s="1"/>
      <c r="F1760" s="1"/>
      <c r="G1760" s="1"/>
      <c r="H1760" s="1"/>
      <c r="I1760" s="1"/>
      <c r="J1760" s="1"/>
      <c r="K1760" s="1"/>
      <c r="L1760" s="1"/>
      <c r="M1760" s="1"/>
      <c r="N1760" s="1"/>
      <c r="O1760" s="1"/>
      <c r="P1760" s="1"/>
    </row>
    <row r="1761" spans="1:15" ht="15.75" customHeight="1">
      <c r="A1761" s="1"/>
      <c r="B1761" s="1"/>
      <c r="C1761" s="1"/>
      <c r="D1761" s="1"/>
      <c r="E1761" s="1"/>
      <c r="F1761" s="1"/>
      <c r="H1761" s="1"/>
      <c r="I1761" s="1"/>
      <c r="J1761" s="1"/>
      <c r="K1761" s="1"/>
    </row>
    <row r="1762" spans="1:15" ht="15.75" customHeight="1">
      <c r="A1762" s="1"/>
      <c r="B1762" s="1"/>
      <c r="C1762" s="1"/>
      <c r="D1762" s="1"/>
      <c r="E1762" s="1"/>
      <c r="F1762" s="1"/>
      <c r="G1762" s="1"/>
      <c r="H1762" s="1"/>
      <c r="I1762" s="1"/>
      <c r="J1762" s="1"/>
      <c r="K1762" s="1"/>
      <c r="O1762" s="1"/>
    </row>
    <row r="1763" spans="1:15" ht="15.75" customHeight="1">
      <c r="A1763" s="1"/>
      <c r="B1763" s="1"/>
      <c r="C1763" s="1"/>
      <c r="D1763" s="1"/>
      <c r="E1763" s="1"/>
      <c r="F1763" s="1"/>
      <c r="H1763" s="1"/>
      <c r="I1763" s="1"/>
      <c r="K1763" s="1"/>
      <c r="O1763" s="1"/>
    </row>
    <row r="1764" spans="1:15" ht="15.75" customHeight="1">
      <c r="A1764" s="1"/>
      <c r="B1764" s="1"/>
      <c r="C1764" s="1"/>
      <c r="D1764" s="1"/>
      <c r="E1764" s="1"/>
      <c r="F1764" s="1"/>
      <c r="G1764" s="1"/>
      <c r="H1764" s="1"/>
      <c r="I1764" s="1"/>
      <c r="K1764" s="1"/>
      <c r="O1764" s="1"/>
    </row>
    <row r="1765" spans="1:15" ht="15.75" customHeight="1">
      <c r="A1765" s="1"/>
      <c r="B1765" s="1"/>
      <c r="C1765" s="1"/>
      <c r="D1765" s="1"/>
      <c r="E1765" s="1"/>
      <c r="F1765" s="1"/>
      <c r="H1765" s="1"/>
      <c r="I1765" s="1"/>
      <c r="J1765" s="1"/>
      <c r="K1765" s="1"/>
      <c r="O1765" s="1"/>
    </row>
    <row r="1766" spans="1:15" ht="15.75" customHeight="1">
      <c r="A1766" s="1"/>
      <c r="B1766" s="1"/>
      <c r="C1766" s="1"/>
      <c r="D1766" s="1"/>
      <c r="E1766" s="1"/>
      <c r="F1766" s="1"/>
      <c r="H1766" s="1"/>
      <c r="I1766" s="1"/>
      <c r="J1766" s="1"/>
      <c r="K1766" s="1"/>
      <c r="O1766" s="1"/>
    </row>
    <row r="1767" spans="1:15" ht="15.75" customHeight="1">
      <c r="A1767" s="1"/>
      <c r="B1767" s="1"/>
      <c r="C1767" s="1"/>
      <c r="D1767" s="1"/>
      <c r="E1767" s="1"/>
      <c r="F1767" s="1"/>
      <c r="H1767" s="1"/>
      <c r="I1767" s="1"/>
      <c r="J1767" s="1"/>
      <c r="K1767" s="1"/>
      <c r="O1767" s="1"/>
    </row>
    <row r="1768" spans="1:15" ht="15.75" customHeight="1">
      <c r="A1768" s="1"/>
      <c r="B1768" s="1"/>
      <c r="C1768" s="1"/>
      <c r="D1768" s="1"/>
      <c r="E1768" s="1"/>
      <c r="F1768" s="1"/>
      <c r="G1768" s="1"/>
      <c r="H1768" s="1"/>
      <c r="I1768" s="1"/>
      <c r="J1768" s="1"/>
      <c r="O1768" s="1"/>
    </row>
    <row r="1769" spans="1:15" ht="15.75" customHeight="1">
      <c r="A1769" s="1"/>
      <c r="B1769" s="1"/>
      <c r="C1769" s="1"/>
      <c r="D1769" s="1"/>
      <c r="E1769" s="1"/>
      <c r="F1769" s="1"/>
      <c r="G1769" s="1"/>
      <c r="H1769" s="1"/>
      <c r="I1769" s="1"/>
      <c r="J1769" s="1"/>
      <c r="O1769" s="1"/>
    </row>
    <row r="1770" spans="1:15" ht="15.75" customHeight="1">
      <c r="A1770" s="1"/>
      <c r="B1770" s="1"/>
      <c r="C1770" s="1"/>
      <c r="D1770" s="1"/>
      <c r="E1770" s="1"/>
      <c r="F1770" s="1"/>
      <c r="H1770" s="1"/>
      <c r="I1770" s="1"/>
      <c r="J1770" s="1"/>
      <c r="K1770" s="1"/>
      <c r="O1770" s="1"/>
    </row>
    <row r="1771" spans="1:15" ht="15.75" customHeight="1">
      <c r="A1771" s="1"/>
      <c r="B1771" s="1"/>
      <c r="C1771" s="1"/>
      <c r="D1771" s="1"/>
      <c r="F1771" s="1"/>
      <c r="H1771" s="1"/>
      <c r="I1771" s="1"/>
      <c r="K1771" s="1"/>
    </row>
    <row r="1772" spans="1:15" ht="15.75" customHeight="1">
      <c r="A1772" s="1"/>
      <c r="B1772" s="1"/>
      <c r="C1772" s="1"/>
      <c r="D1772" s="1"/>
      <c r="E1772" s="1"/>
      <c r="F1772" s="1"/>
      <c r="H1772" s="1"/>
      <c r="I1772" s="1"/>
      <c r="J1772" s="1"/>
      <c r="K1772" s="1"/>
      <c r="O1772" s="1"/>
    </row>
    <row r="1773" spans="1:15" ht="15.75" customHeight="1">
      <c r="A1773" s="1"/>
      <c r="B1773" s="1"/>
      <c r="C1773" s="1"/>
      <c r="D1773" s="1"/>
      <c r="E1773" s="1"/>
      <c r="F1773" s="1"/>
      <c r="H1773" s="1"/>
      <c r="I1773" s="1"/>
      <c r="J1773" s="1"/>
      <c r="O1773" s="1"/>
    </row>
    <row r="1774" spans="1:15" ht="15.75" customHeight="1">
      <c r="A1774" s="1"/>
      <c r="B1774" s="1"/>
      <c r="C1774" s="1"/>
      <c r="D1774" s="1"/>
      <c r="E1774" s="1"/>
      <c r="F1774" s="1"/>
      <c r="H1774" s="1"/>
      <c r="I1774" s="1"/>
      <c r="J1774" s="1"/>
      <c r="K1774" s="1"/>
      <c r="O1774" s="1"/>
    </row>
    <row r="1775" spans="1:15" ht="15.75" customHeight="1">
      <c r="A1775" s="1"/>
      <c r="B1775" s="1"/>
      <c r="C1775" s="1"/>
      <c r="D1775" s="1"/>
      <c r="E1775" s="1"/>
      <c r="F1775" s="1"/>
      <c r="H1775" s="1"/>
      <c r="I1775" s="1"/>
      <c r="K1775" s="1"/>
      <c r="O1775" s="1"/>
    </row>
    <row r="1776" spans="1:15" ht="15.75" customHeight="1">
      <c r="A1776" s="1"/>
      <c r="B1776" s="1"/>
      <c r="C1776" s="1"/>
      <c r="D1776" s="1"/>
      <c r="E1776" s="1"/>
      <c r="F1776" s="1"/>
      <c r="H1776" s="1"/>
      <c r="I1776" s="1"/>
      <c r="J1776" s="1"/>
      <c r="K1776" s="1"/>
      <c r="O1776" s="1"/>
    </row>
    <row r="1777" spans="1:15" ht="15.75" customHeight="1">
      <c r="A1777" s="1"/>
      <c r="B1777" s="1"/>
      <c r="C1777" s="1"/>
      <c r="D1777" s="1"/>
      <c r="E1777" s="1"/>
      <c r="F1777" s="1"/>
      <c r="H1777" s="1"/>
      <c r="I1777" s="1"/>
      <c r="J1777" s="1"/>
      <c r="K1777" s="1"/>
      <c r="O1777" s="1"/>
    </row>
    <row r="1778" spans="1:15" ht="15.75" customHeight="1">
      <c r="A1778" s="1"/>
      <c r="B1778" s="1"/>
      <c r="C1778" s="1"/>
      <c r="D1778" s="1"/>
      <c r="E1778" s="1"/>
      <c r="F1778" s="1"/>
      <c r="H1778" s="1"/>
      <c r="I1778" s="1"/>
      <c r="K1778" s="1"/>
      <c r="O1778" s="1"/>
    </row>
    <row r="1779" spans="1:15" ht="15.75" customHeight="1">
      <c r="A1779" s="1"/>
      <c r="B1779" s="1"/>
      <c r="C1779" s="1"/>
      <c r="D1779" s="1"/>
      <c r="E1779" s="1"/>
      <c r="F1779" s="1"/>
      <c r="H1779" s="1"/>
      <c r="I1779" s="1"/>
      <c r="J1779" s="1"/>
      <c r="K1779" s="1"/>
      <c r="O1779" s="1"/>
    </row>
    <row r="1780" spans="1:15" ht="15.75" customHeight="1">
      <c r="A1780" s="1"/>
      <c r="B1780" s="1"/>
      <c r="C1780" s="1"/>
      <c r="D1780" s="1"/>
      <c r="E1780" s="1"/>
      <c r="F1780" s="1"/>
      <c r="H1780" s="1"/>
      <c r="I1780" s="1"/>
      <c r="J1780" s="1"/>
      <c r="K1780" s="1"/>
      <c r="O1780" s="1"/>
    </row>
    <row r="1781" spans="1:15" ht="15.75" customHeight="1">
      <c r="A1781" s="1"/>
      <c r="B1781" s="1"/>
      <c r="C1781" s="1"/>
      <c r="D1781" s="1"/>
      <c r="E1781" s="1"/>
      <c r="F1781" s="1"/>
      <c r="H1781" s="1"/>
      <c r="I1781" s="1"/>
      <c r="J1781" s="1"/>
      <c r="K1781" s="1"/>
      <c r="O1781" s="1"/>
    </row>
    <row r="1782" spans="1:15" ht="15.75" customHeight="1">
      <c r="A1782" s="1"/>
      <c r="B1782" s="1"/>
      <c r="C1782" s="1"/>
      <c r="D1782" s="1"/>
      <c r="E1782" s="1"/>
      <c r="F1782" s="1"/>
      <c r="G1782" s="1"/>
      <c r="H1782" s="1"/>
      <c r="I1782" s="1"/>
      <c r="J1782" s="1"/>
      <c r="O1782" s="1"/>
    </row>
    <row r="1783" spans="1:15" ht="15.75" customHeight="1">
      <c r="A1783" s="1"/>
      <c r="B1783" s="1"/>
      <c r="C1783" s="1"/>
      <c r="D1783" s="1"/>
      <c r="E1783" s="1"/>
      <c r="F1783" s="1"/>
      <c r="H1783" s="1"/>
      <c r="I1783" s="1"/>
      <c r="J1783" s="1"/>
      <c r="K1783" s="1"/>
      <c r="O1783" s="1"/>
    </row>
    <row r="1784" spans="1:15" ht="15.75" customHeight="1">
      <c r="A1784" s="1"/>
      <c r="B1784" s="1"/>
      <c r="C1784" s="1"/>
      <c r="D1784" s="1"/>
      <c r="E1784" s="1"/>
      <c r="F1784" s="1"/>
      <c r="H1784" s="1"/>
      <c r="I1784" s="1"/>
      <c r="J1784" s="1"/>
      <c r="K1784" s="1"/>
      <c r="O1784" s="1"/>
    </row>
    <row r="1785" spans="1:15" ht="15.75" customHeight="1">
      <c r="A1785" s="1"/>
      <c r="B1785" s="1"/>
      <c r="C1785" s="1"/>
      <c r="D1785" s="1"/>
      <c r="E1785" s="1"/>
      <c r="F1785" s="1"/>
      <c r="H1785" s="1"/>
      <c r="I1785" s="1"/>
      <c r="J1785" s="1"/>
      <c r="K1785" s="1"/>
      <c r="O1785" s="1"/>
    </row>
    <row r="1786" spans="1:15" ht="15.75" customHeight="1">
      <c r="A1786" s="1"/>
      <c r="B1786" s="1"/>
      <c r="C1786" s="1"/>
      <c r="D1786" s="1"/>
      <c r="E1786" s="1"/>
      <c r="F1786" s="1"/>
      <c r="H1786" s="1"/>
      <c r="I1786" s="1"/>
      <c r="K1786" s="1"/>
      <c r="O1786" s="1"/>
    </row>
    <row r="1787" spans="1:15" ht="15.75" customHeight="1">
      <c r="A1787" s="1"/>
      <c r="B1787" s="1"/>
      <c r="C1787" s="1"/>
      <c r="D1787" s="1"/>
      <c r="E1787" s="1"/>
      <c r="F1787" s="1"/>
      <c r="H1787" s="1"/>
      <c r="I1787" s="1"/>
      <c r="J1787" s="1"/>
      <c r="K1787" s="1"/>
      <c r="O1787" s="1"/>
    </row>
    <row r="1788" spans="1:15" ht="15.75" customHeight="1">
      <c r="A1788" s="1"/>
      <c r="B1788" s="1"/>
      <c r="C1788" s="1"/>
      <c r="D1788" s="1"/>
      <c r="E1788" s="1"/>
      <c r="F1788" s="1"/>
      <c r="H1788" s="1"/>
      <c r="I1788" s="1"/>
      <c r="J1788" s="1"/>
      <c r="O1788" s="1"/>
    </row>
    <row r="1789" spans="1:15" ht="15.75" customHeight="1">
      <c r="A1789" s="1"/>
      <c r="B1789" s="1"/>
      <c r="C1789" s="1"/>
      <c r="D1789" s="1"/>
      <c r="E1789" s="1"/>
      <c r="F1789" s="1"/>
      <c r="H1789" s="1"/>
      <c r="I1789" s="1"/>
      <c r="K1789" s="1"/>
    </row>
    <row r="1790" spans="1:15" ht="15.75" customHeight="1">
      <c r="A1790" s="1"/>
      <c r="B1790" s="1"/>
      <c r="C1790" s="1"/>
      <c r="D1790" s="1"/>
      <c r="F1790" s="1"/>
      <c r="H1790" s="1"/>
      <c r="I1790" s="1"/>
      <c r="J1790" s="1"/>
      <c r="K1790" s="1"/>
      <c r="O1790" s="1"/>
    </row>
    <row r="1791" spans="1:15" ht="15.75" customHeight="1">
      <c r="A1791" s="1"/>
      <c r="B1791" s="1"/>
      <c r="C1791" s="1"/>
      <c r="D1791" s="1"/>
      <c r="F1791" s="1"/>
      <c r="H1791" s="1"/>
      <c r="I1791" s="1"/>
      <c r="J1791" s="1"/>
      <c r="K1791" s="1"/>
      <c r="O1791" s="1"/>
    </row>
    <row r="1792" spans="1:15" ht="15.75" customHeight="1">
      <c r="A1792" s="1"/>
      <c r="B1792" s="1"/>
      <c r="C1792" s="1"/>
      <c r="D1792" s="1"/>
      <c r="E1792" s="1"/>
      <c r="F1792" s="1"/>
      <c r="H1792" s="1"/>
      <c r="I1792" s="1"/>
      <c r="J1792" s="1"/>
      <c r="K1792" s="1"/>
      <c r="O1792" s="1"/>
    </row>
    <row r="1793" spans="1:15" ht="15.75" customHeight="1">
      <c r="A1793" s="1"/>
      <c r="B1793" s="1"/>
      <c r="C1793" s="1"/>
      <c r="D1793" s="1"/>
      <c r="E1793" s="1"/>
      <c r="F1793" s="1"/>
      <c r="H1793" s="1"/>
      <c r="I1793" s="1"/>
      <c r="J1793" s="1"/>
      <c r="K1793" s="1"/>
      <c r="O1793" s="1"/>
    </row>
    <row r="1794" spans="1:15" ht="15.75" customHeight="1">
      <c r="A1794" s="1"/>
      <c r="B1794" s="1"/>
      <c r="C1794" s="1"/>
      <c r="D1794" s="1"/>
      <c r="E1794" s="1"/>
      <c r="F1794" s="1"/>
      <c r="H1794" s="1"/>
      <c r="I1794" s="1"/>
      <c r="J1794" s="1"/>
      <c r="K1794" s="1"/>
      <c r="O1794" s="1"/>
    </row>
    <row r="1795" spans="1:15" ht="15.75" customHeight="1">
      <c r="A1795" s="1"/>
      <c r="B1795" s="1"/>
      <c r="C1795" s="1"/>
      <c r="D1795" s="1"/>
      <c r="E1795" s="1"/>
      <c r="F1795" s="1"/>
      <c r="H1795" s="1"/>
      <c r="I1795" s="1"/>
      <c r="J1795" s="1"/>
      <c r="O1795" s="1"/>
    </row>
    <row r="1796" spans="1:15" ht="15.75" customHeight="1">
      <c r="A1796" s="1"/>
      <c r="B1796" s="1"/>
      <c r="C1796" s="1"/>
      <c r="D1796" s="1"/>
      <c r="E1796" s="1"/>
      <c r="F1796" s="1"/>
      <c r="H1796" s="1"/>
      <c r="I1796" s="1"/>
      <c r="O1796" s="1"/>
    </row>
    <row r="1797" spans="1:15" ht="15.75" customHeight="1">
      <c r="A1797" s="1"/>
      <c r="B1797" s="1"/>
      <c r="C1797" s="1"/>
      <c r="D1797" s="1"/>
      <c r="E1797" s="1"/>
      <c r="F1797" s="1"/>
      <c r="H1797" s="1"/>
      <c r="I1797" s="1"/>
      <c r="J1797" s="1"/>
      <c r="K1797" s="1"/>
      <c r="O1797" s="1"/>
    </row>
    <row r="1798" spans="1:15" ht="15.75" customHeight="1">
      <c r="A1798" s="1"/>
      <c r="B1798" s="1"/>
      <c r="C1798" s="1"/>
      <c r="D1798" s="1"/>
      <c r="E1798" s="1"/>
      <c r="F1798" s="1"/>
      <c r="H1798" s="1"/>
      <c r="I1798" s="1"/>
      <c r="J1798" s="1"/>
      <c r="K1798" s="1"/>
      <c r="O1798" s="1"/>
    </row>
    <row r="1799" spans="1:15" ht="15.75" customHeight="1">
      <c r="A1799" s="1"/>
      <c r="B1799" s="1"/>
      <c r="C1799" s="1"/>
      <c r="D1799" s="1"/>
      <c r="E1799" s="1"/>
      <c r="F1799" s="1"/>
      <c r="H1799" s="1"/>
      <c r="I1799" s="1"/>
      <c r="J1799" s="1"/>
      <c r="K1799" s="1"/>
      <c r="O1799" s="1"/>
    </row>
    <row r="1800" spans="1:15" ht="15.75" customHeight="1">
      <c r="A1800" s="1"/>
      <c r="B1800" s="1"/>
      <c r="C1800" s="1"/>
      <c r="D1800" s="1"/>
      <c r="E1800" s="1"/>
      <c r="F1800" s="1"/>
      <c r="H1800" s="1"/>
      <c r="I1800" s="1"/>
      <c r="J1800" s="1"/>
      <c r="K1800" s="1"/>
      <c r="O1800" s="1"/>
    </row>
    <row r="1801" spans="1:15" ht="15.75" customHeight="1">
      <c r="A1801" s="1"/>
      <c r="B1801" s="1"/>
      <c r="C1801" s="1"/>
      <c r="D1801" s="1"/>
      <c r="E1801" s="1"/>
      <c r="F1801" s="1"/>
      <c r="H1801" s="1"/>
      <c r="I1801" s="1"/>
      <c r="K1801" s="1"/>
      <c r="O1801" s="1"/>
    </row>
    <row r="1802" spans="1:15" ht="15.75" customHeight="1">
      <c r="A1802" s="1"/>
      <c r="B1802" s="1"/>
      <c r="C1802" s="1"/>
      <c r="D1802" s="1"/>
      <c r="E1802" s="1"/>
      <c r="F1802" s="1"/>
      <c r="H1802" s="1"/>
      <c r="I1802" s="1"/>
      <c r="K1802" s="1"/>
      <c r="O1802" s="1"/>
    </row>
    <row r="1803" spans="1:15" ht="15.75" customHeight="1">
      <c r="A1803" s="1"/>
      <c r="B1803" s="1"/>
      <c r="C1803" s="1"/>
      <c r="D1803" s="1"/>
      <c r="E1803" s="1"/>
      <c r="F1803" s="1"/>
      <c r="H1803" s="1"/>
      <c r="I1803" s="1"/>
      <c r="J1803" s="1"/>
      <c r="K1803" s="1"/>
      <c r="O1803" s="1"/>
    </row>
    <row r="1804" spans="1:15" ht="15.75" customHeight="1">
      <c r="A1804" s="1"/>
      <c r="B1804" s="1"/>
      <c r="C1804" s="1"/>
      <c r="D1804" s="1"/>
      <c r="E1804" s="1"/>
      <c r="F1804" s="1"/>
      <c r="H1804" s="1"/>
      <c r="I1804" s="1"/>
      <c r="J1804" s="1"/>
      <c r="K1804" s="1"/>
      <c r="O1804" s="1"/>
    </row>
    <row r="1805" spans="1:15" ht="15.75" customHeight="1">
      <c r="A1805" s="1"/>
      <c r="B1805" s="1"/>
      <c r="C1805" s="1"/>
      <c r="D1805" s="1"/>
      <c r="E1805" s="1"/>
      <c r="F1805" s="1"/>
      <c r="H1805" s="1"/>
      <c r="I1805" s="1"/>
      <c r="J1805" s="1"/>
      <c r="K1805" s="1"/>
    </row>
    <row r="1806" spans="1:15" ht="15.75" customHeight="1">
      <c r="A1806" s="1"/>
      <c r="B1806" s="1"/>
      <c r="C1806" s="1"/>
      <c r="D1806" s="1"/>
      <c r="E1806" s="1"/>
      <c r="F1806" s="1"/>
      <c r="H1806" s="1"/>
      <c r="I1806" s="1"/>
      <c r="J1806" s="1"/>
      <c r="K1806" s="1"/>
      <c r="O1806" s="1"/>
    </row>
    <row r="1807" spans="1:15" ht="15.75" customHeight="1">
      <c r="A1807" s="1"/>
      <c r="B1807" s="1"/>
      <c r="C1807" s="1"/>
      <c r="D1807" s="1"/>
      <c r="E1807" s="1"/>
      <c r="F1807" s="1"/>
      <c r="H1807" s="1"/>
      <c r="I1807" s="1"/>
      <c r="J1807" s="1"/>
      <c r="K1807" s="1"/>
      <c r="O1807" s="1"/>
    </row>
    <row r="1808" spans="1:15" ht="15.75" customHeight="1">
      <c r="A1808" s="1"/>
      <c r="B1808" s="1"/>
      <c r="C1808" s="1"/>
      <c r="D1808" s="1"/>
      <c r="E1808" s="1"/>
      <c r="F1808" s="1"/>
      <c r="H1808" s="1"/>
      <c r="I1808" s="1"/>
      <c r="J1808" s="1"/>
      <c r="K1808" s="1"/>
      <c r="O1808" s="1"/>
    </row>
    <row r="1809" spans="1:16" ht="15.75" customHeight="1">
      <c r="A1809" s="1"/>
      <c r="B1809" s="1"/>
      <c r="C1809" s="1"/>
      <c r="D1809" s="1"/>
      <c r="E1809" s="1"/>
      <c r="F1809" s="1"/>
      <c r="H1809" s="1"/>
      <c r="I1809" s="1"/>
      <c r="J1809" s="1"/>
      <c r="K1809" s="1"/>
      <c r="O1809" s="1"/>
    </row>
    <row r="1810" spans="1:16" ht="15.75" customHeight="1">
      <c r="A1810" s="1"/>
      <c r="B1810" s="1"/>
      <c r="C1810" s="1"/>
      <c r="D1810" s="1"/>
      <c r="E1810" s="1"/>
      <c r="F1810" s="1"/>
      <c r="H1810" s="1"/>
      <c r="I1810" s="1"/>
      <c r="J1810" s="1"/>
      <c r="K1810" s="1"/>
      <c r="O1810" s="1"/>
    </row>
    <row r="1811" spans="1:16" ht="15.75" customHeight="1">
      <c r="A1811" s="1"/>
      <c r="B1811" s="1"/>
      <c r="C1811" s="1"/>
      <c r="D1811" s="1"/>
      <c r="E1811" s="1"/>
      <c r="F1811" s="1"/>
      <c r="H1811" s="1"/>
      <c r="I1811" s="1"/>
      <c r="J1811" s="1"/>
      <c r="K1811" s="1"/>
      <c r="O1811" s="1"/>
    </row>
    <row r="1812" spans="1:16" ht="15.75" customHeight="1">
      <c r="A1812" s="1"/>
      <c r="B1812" s="1"/>
      <c r="C1812" s="1"/>
      <c r="D1812" s="1"/>
      <c r="E1812" s="1"/>
      <c r="F1812" s="1"/>
      <c r="H1812" s="1"/>
      <c r="I1812" s="1"/>
      <c r="J1812" s="1"/>
      <c r="K1812" s="1"/>
      <c r="O1812" s="1"/>
    </row>
    <row r="1813" spans="1:16" ht="15.75" customHeight="1">
      <c r="A1813" s="1"/>
      <c r="B1813" s="1"/>
      <c r="C1813" s="1"/>
      <c r="D1813" s="1"/>
      <c r="E1813" s="1"/>
      <c r="F1813" s="1"/>
      <c r="H1813" s="1"/>
      <c r="I1813" s="1"/>
      <c r="J1813" s="1"/>
      <c r="K1813" s="1"/>
      <c r="O1813" s="1"/>
    </row>
    <row r="1814" spans="1:16" ht="15.75" customHeight="1">
      <c r="A1814" s="1"/>
      <c r="B1814" s="1"/>
      <c r="C1814" s="1"/>
      <c r="D1814" s="1"/>
      <c r="E1814" s="1"/>
      <c r="F1814" s="1"/>
      <c r="H1814" s="1"/>
      <c r="I1814" s="1"/>
      <c r="J1814" s="1"/>
      <c r="K1814" s="1"/>
      <c r="O1814" s="1"/>
    </row>
    <row r="1815" spans="1:16" ht="15.75" customHeight="1">
      <c r="A1815" s="1"/>
      <c r="B1815" s="1"/>
      <c r="C1815" s="1"/>
      <c r="D1815" s="1"/>
      <c r="F1815" s="1"/>
      <c r="H1815" s="1"/>
      <c r="I1815" s="1"/>
      <c r="J1815" s="1"/>
      <c r="K1815" s="1"/>
      <c r="O1815" s="1"/>
    </row>
    <row r="1816" spans="1:16" ht="15.75" customHeight="1">
      <c r="A1816" s="1"/>
      <c r="B1816" s="1"/>
      <c r="C1816" s="1"/>
      <c r="D1816" s="1"/>
      <c r="E1816" s="1"/>
      <c r="F1816" s="1"/>
      <c r="H1816" s="1"/>
      <c r="I1816" s="1"/>
      <c r="J1816" s="1"/>
      <c r="K1816" s="1"/>
      <c r="O1816" s="1"/>
    </row>
    <row r="1817" spans="1:16" ht="15.75" customHeight="1">
      <c r="A1817" s="1"/>
      <c r="B1817" s="1"/>
      <c r="C1817" s="1"/>
      <c r="D1817" s="1"/>
      <c r="E1817" s="1"/>
      <c r="F1817" s="1"/>
      <c r="G1817" s="1"/>
      <c r="H1817" s="1"/>
      <c r="I1817" s="1"/>
      <c r="J1817" s="1"/>
      <c r="K1817" s="1"/>
      <c r="L1817" s="1"/>
      <c r="M1817" s="1"/>
      <c r="N1817" s="1"/>
      <c r="O1817" s="1"/>
      <c r="P1817" s="5"/>
    </row>
    <row r="1818" spans="1:16" ht="15.75" customHeight="1">
      <c r="A1818" s="1"/>
      <c r="B1818" s="1"/>
      <c r="C1818" s="1"/>
      <c r="D1818" s="1"/>
      <c r="E1818" s="1"/>
      <c r="F1818" s="1"/>
      <c r="H1818" s="1"/>
      <c r="I1818" s="1"/>
      <c r="J1818" s="1"/>
      <c r="K1818" s="1"/>
      <c r="O1818" s="1"/>
    </row>
    <row r="1819" spans="1:16" ht="15.75" customHeight="1">
      <c r="A1819" s="1"/>
      <c r="B1819" s="1"/>
      <c r="C1819" s="1"/>
      <c r="D1819" s="1"/>
      <c r="E1819" s="1"/>
      <c r="F1819" s="1"/>
      <c r="H1819" s="1"/>
      <c r="I1819" s="1"/>
      <c r="J1819" s="1"/>
      <c r="K1819" s="1"/>
      <c r="O1819" s="1"/>
    </row>
    <row r="1820" spans="1:16" ht="15.75" customHeight="1">
      <c r="A1820" s="1"/>
      <c r="B1820" s="1"/>
      <c r="C1820" s="1"/>
      <c r="D1820" s="1"/>
      <c r="E1820" s="1"/>
      <c r="F1820" s="1"/>
      <c r="H1820" s="1"/>
      <c r="I1820" s="1"/>
      <c r="J1820" s="1"/>
      <c r="O1820" s="1"/>
    </row>
    <row r="1821" spans="1:16" ht="15.75" customHeight="1">
      <c r="A1821" s="1"/>
      <c r="B1821" s="1"/>
      <c r="C1821" s="1"/>
      <c r="D1821" s="1"/>
      <c r="E1821" s="1"/>
      <c r="F1821" s="1"/>
      <c r="H1821" s="1"/>
      <c r="I1821" s="1"/>
      <c r="J1821" s="1"/>
      <c r="K1821" s="1"/>
      <c r="O1821" s="1"/>
    </row>
    <row r="1822" spans="1:16" ht="15.75" customHeight="1">
      <c r="A1822" s="1"/>
      <c r="B1822" s="1"/>
      <c r="C1822" s="1"/>
      <c r="D1822" s="1"/>
      <c r="E1822" s="1"/>
      <c r="F1822" s="1"/>
      <c r="H1822" s="1"/>
      <c r="I1822" s="1"/>
      <c r="K1822" s="1"/>
      <c r="O1822" s="1"/>
    </row>
    <row r="1823" spans="1:16" ht="15.75" customHeight="1">
      <c r="A1823" s="1"/>
      <c r="B1823" s="1"/>
      <c r="C1823" s="1"/>
      <c r="D1823" s="1"/>
      <c r="F1823" s="1"/>
      <c r="H1823" s="1"/>
      <c r="I1823" s="1"/>
      <c r="J1823" s="1"/>
      <c r="K1823" s="1"/>
      <c r="O1823" s="1"/>
    </row>
    <row r="1824" spans="1:16" ht="15.75" customHeight="1">
      <c r="A1824" s="1"/>
      <c r="B1824" s="1"/>
      <c r="C1824" s="1"/>
      <c r="D1824" s="1"/>
      <c r="E1824" s="1"/>
      <c r="F1824" s="1"/>
      <c r="H1824" s="1"/>
      <c r="I1824" s="1"/>
      <c r="J1824" s="1"/>
      <c r="K1824" s="1"/>
      <c r="O1824" s="1"/>
    </row>
    <row r="1825" spans="1:15" ht="15.75" customHeight="1">
      <c r="A1825" s="1"/>
      <c r="B1825" s="1"/>
      <c r="C1825" s="1"/>
      <c r="D1825" s="1"/>
      <c r="E1825" s="1"/>
      <c r="F1825" s="1"/>
      <c r="H1825" s="1"/>
      <c r="I1825" s="1"/>
      <c r="J1825" s="1"/>
      <c r="K1825" s="1"/>
      <c r="O1825" s="1"/>
    </row>
    <row r="1826" spans="1:15" ht="15.75" customHeight="1">
      <c r="A1826" s="1"/>
      <c r="B1826" s="1"/>
      <c r="C1826" s="1"/>
      <c r="D1826" s="1"/>
      <c r="E1826" s="1"/>
      <c r="F1826" s="1"/>
      <c r="H1826" s="1"/>
      <c r="I1826" s="1"/>
      <c r="J1826" s="1"/>
      <c r="K1826" s="1"/>
      <c r="O1826" s="1"/>
    </row>
    <row r="1827" spans="1:15" ht="15.75" customHeight="1">
      <c r="A1827" s="1"/>
      <c r="B1827" s="1"/>
      <c r="C1827" s="1"/>
      <c r="D1827" s="1"/>
      <c r="E1827" s="1"/>
      <c r="F1827" s="1"/>
      <c r="H1827" s="1"/>
      <c r="I1827" s="1"/>
      <c r="J1827" s="1"/>
      <c r="K1827" s="1"/>
      <c r="O1827" s="1"/>
    </row>
    <row r="1828" spans="1:15" ht="15.75" customHeight="1">
      <c r="A1828" s="1"/>
      <c r="B1828" s="1"/>
      <c r="C1828" s="1"/>
      <c r="D1828" s="1"/>
      <c r="E1828" s="1"/>
      <c r="F1828" s="1"/>
      <c r="H1828" s="1"/>
      <c r="I1828" s="1"/>
      <c r="J1828" s="1"/>
      <c r="K1828" s="1"/>
      <c r="O1828" s="1"/>
    </row>
    <row r="1829" spans="1:15" ht="15.75" customHeight="1">
      <c r="A1829" s="1"/>
      <c r="B1829" s="1"/>
      <c r="C1829" s="1"/>
      <c r="D1829" s="1"/>
      <c r="F1829" s="1"/>
      <c r="H1829" s="1"/>
      <c r="I1829" s="1"/>
      <c r="J1829" s="1"/>
      <c r="K1829" s="1"/>
      <c r="O1829" s="1"/>
    </row>
    <row r="1830" spans="1:15" ht="15.75" customHeight="1">
      <c r="A1830" s="1"/>
      <c r="B1830" s="1"/>
      <c r="C1830" s="1"/>
      <c r="D1830" s="1"/>
      <c r="E1830" s="1"/>
      <c r="F1830" s="1"/>
      <c r="H1830" s="1"/>
      <c r="I1830" s="1"/>
      <c r="J1830" s="1"/>
      <c r="O1830" s="1"/>
    </row>
    <row r="1831" spans="1:15" ht="15.75" customHeight="1">
      <c r="A1831" s="1"/>
      <c r="B1831" s="1"/>
      <c r="C1831" s="1"/>
      <c r="D1831" s="1"/>
      <c r="E1831" s="1"/>
      <c r="F1831" s="1"/>
      <c r="H1831" s="1"/>
      <c r="I1831" s="1"/>
      <c r="J1831" s="1"/>
      <c r="K1831" s="1"/>
      <c r="O1831" s="1"/>
    </row>
    <row r="1832" spans="1:15" ht="15.75" customHeight="1">
      <c r="A1832" s="1"/>
      <c r="B1832" s="1"/>
      <c r="C1832" s="1"/>
      <c r="D1832" s="1"/>
      <c r="E1832" s="1"/>
      <c r="F1832" s="1"/>
      <c r="G1832" s="1"/>
      <c r="H1832" s="1"/>
      <c r="I1832" s="1"/>
      <c r="J1832" s="1"/>
      <c r="O1832" s="1"/>
    </row>
    <row r="1833" spans="1:15" ht="15.75" customHeight="1">
      <c r="A1833" s="1"/>
      <c r="B1833" s="1"/>
      <c r="C1833" s="1"/>
      <c r="D1833" s="1"/>
      <c r="E1833" s="1"/>
      <c r="F1833" s="1"/>
      <c r="H1833" s="1"/>
      <c r="I1833" s="1"/>
      <c r="J1833" s="1"/>
      <c r="K1833" s="1"/>
      <c r="O1833" s="1"/>
    </row>
    <row r="1834" spans="1:15" ht="15.75" customHeight="1">
      <c r="A1834" s="1"/>
      <c r="B1834" s="1"/>
      <c r="C1834" s="1"/>
      <c r="D1834" s="1"/>
      <c r="E1834" s="1"/>
      <c r="F1834" s="1"/>
      <c r="H1834" s="1"/>
      <c r="I1834" s="1"/>
      <c r="J1834" s="1"/>
      <c r="K1834" s="1"/>
      <c r="O1834" s="1"/>
    </row>
    <row r="1835" spans="1:15" ht="15.75" customHeight="1">
      <c r="A1835" s="1"/>
      <c r="B1835" s="1"/>
      <c r="C1835" s="1"/>
      <c r="D1835" s="1"/>
      <c r="E1835" s="1"/>
      <c r="F1835" s="1"/>
      <c r="H1835" s="1"/>
      <c r="I1835" s="1"/>
      <c r="K1835" s="1"/>
      <c r="O1835" s="1"/>
    </row>
    <row r="1836" spans="1:15" ht="15.75" customHeight="1">
      <c r="A1836" s="1"/>
      <c r="B1836" s="1"/>
      <c r="C1836" s="1"/>
      <c r="D1836" s="1"/>
      <c r="E1836" s="1"/>
      <c r="F1836" s="1"/>
      <c r="H1836" s="1"/>
      <c r="I1836" s="1"/>
      <c r="J1836" s="1"/>
      <c r="K1836" s="1"/>
      <c r="O1836" s="1"/>
    </row>
    <row r="1837" spans="1:15" ht="15.75" customHeight="1">
      <c r="A1837" s="1"/>
      <c r="B1837" s="1"/>
      <c r="C1837" s="1"/>
      <c r="D1837" s="1"/>
      <c r="E1837" s="1"/>
      <c r="F1837" s="1"/>
      <c r="H1837" s="1"/>
      <c r="I1837" s="1"/>
      <c r="J1837" s="1"/>
      <c r="K1837" s="1"/>
      <c r="O1837" s="1"/>
    </row>
    <row r="1838" spans="1:15" ht="15.75" customHeight="1">
      <c r="A1838" s="1"/>
      <c r="B1838" s="1"/>
      <c r="C1838" s="1"/>
      <c r="D1838" s="1"/>
      <c r="E1838" s="1"/>
      <c r="F1838" s="1"/>
      <c r="H1838" s="1"/>
      <c r="I1838" s="1"/>
      <c r="J1838" s="1"/>
      <c r="K1838" s="1"/>
      <c r="O1838" s="1"/>
    </row>
    <row r="1839" spans="1:15" ht="15.75" customHeight="1">
      <c r="A1839" s="1"/>
      <c r="B1839" s="1"/>
      <c r="C1839" s="1"/>
      <c r="D1839" s="1"/>
      <c r="E1839" s="1"/>
      <c r="F1839" s="1"/>
      <c r="H1839" s="1"/>
      <c r="I1839" s="1"/>
      <c r="O1839" s="1"/>
    </row>
    <row r="1840" spans="1:15" ht="15.75" customHeight="1">
      <c r="A1840" s="1"/>
      <c r="B1840" s="1"/>
      <c r="C1840" s="1"/>
      <c r="D1840" s="1"/>
      <c r="E1840" s="1"/>
      <c r="F1840" s="1"/>
      <c r="H1840" s="1"/>
      <c r="I1840" s="1"/>
      <c r="J1840" s="1"/>
      <c r="K1840" s="1"/>
      <c r="O1840" s="1"/>
    </row>
    <row r="1841" spans="1:15" ht="15.75" customHeight="1">
      <c r="A1841" s="1"/>
      <c r="B1841" s="1"/>
      <c r="C1841" s="1"/>
      <c r="D1841" s="1"/>
      <c r="E1841" s="1"/>
      <c r="F1841" s="1"/>
      <c r="H1841" s="1"/>
      <c r="I1841" s="1"/>
      <c r="J1841" s="1"/>
      <c r="K1841" s="1"/>
      <c r="O1841" s="1"/>
    </row>
    <row r="1842" spans="1:15" ht="15.75" customHeight="1">
      <c r="A1842" s="1"/>
      <c r="B1842" s="1"/>
      <c r="C1842" s="1"/>
      <c r="D1842" s="1"/>
      <c r="E1842" s="1"/>
      <c r="F1842" s="1"/>
      <c r="H1842" s="1"/>
      <c r="I1842" s="1"/>
      <c r="J1842" s="1"/>
      <c r="K1842" s="1"/>
      <c r="O1842" s="1"/>
    </row>
    <row r="1843" spans="1:15" ht="15.75" customHeight="1">
      <c r="A1843" s="1"/>
      <c r="B1843" s="1"/>
      <c r="C1843" s="1"/>
      <c r="D1843" s="1"/>
      <c r="E1843" s="1"/>
      <c r="F1843" s="1"/>
      <c r="H1843" s="1"/>
      <c r="I1843" s="1"/>
      <c r="K1843" s="1"/>
      <c r="O1843" s="1"/>
    </row>
    <row r="1844" spans="1:15" ht="15.75" customHeight="1">
      <c r="A1844" s="1"/>
      <c r="B1844" s="1"/>
      <c r="C1844" s="1"/>
      <c r="D1844" s="1"/>
      <c r="E1844" s="1"/>
      <c r="F1844" s="1"/>
      <c r="H1844" s="1"/>
      <c r="I1844" s="1"/>
      <c r="O1844" s="1"/>
    </row>
    <row r="1845" spans="1:15" ht="15.75" customHeight="1">
      <c r="A1845" s="1"/>
      <c r="B1845" s="1"/>
      <c r="C1845" s="1"/>
      <c r="D1845" s="1"/>
      <c r="E1845" s="1"/>
      <c r="F1845" s="1"/>
      <c r="H1845" s="1"/>
      <c r="I1845" s="1"/>
      <c r="K1845" s="1"/>
      <c r="O1845" s="1"/>
    </row>
    <row r="1846" spans="1:15" ht="15.75" customHeight="1">
      <c r="A1846" s="1"/>
      <c r="B1846" s="1"/>
      <c r="C1846" s="1"/>
      <c r="D1846" s="1"/>
      <c r="E1846" s="1"/>
      <c r="F1846" s="1"/>
      <c r="H1846" s="1"/>
      <c r="I1846" s="1"/>
      <c r="J1846" s="1"/>
      <c r="K1846" s="1"/>
      <c r="O1846" s="1"/>
    </row>
    <row r="1847" spans="1:15" ht="15.75" customHeight="1">
      <c r="A1847" s="1"/>
      <c r="B1847" s="1"/>
      <c r="C1847" s="1"/>
      <c r="D1847" s="1"/>
      <c r="E1847" s="1"/>
      <c r="F1847" s="1"/>
      <c r="H1847" s="1"/>
      <c r="I1847" s="1"/>
      <c r="J1847" s="1"/>
      <c r="K1847" s="1"/>
      <c r="O1847" s="1"/>
    </row>
    <row r="1848" spans="1:15" ht="15.75" customHeight="1">
      <c r="A1848" s="1"/>
      <c r="B1848" s="1"/>
      <c r="C1848" s="1"/>
      <c r="D1848" s="1"/>
      <c r="E1848" s="1"/>
      <c r="F1848" s="1"/>
      <c r="G1848" s="1"/>
      <c r="H1848" s="1"/>
      <c r="I1848" s="1"/>
      <c r="J1848" s="1"/>
      <c r="O1848" s="1"/>
    </row>
    <row r="1849" spans="1:15" ht="15.75" customHeight="1">
      <c r="A1849" s="1"/>
      <c r="B1849" s="1"/>
      <c r="C1849" s="1"/>
      <c r="D1849" s="1"/>
      <c r="E1849" s="1"/>
      <c r="F1849" s="1"/>
      <c r="H1849" s="1"/>
      <c r="I1849" s="1"/>
      <c r="J1849" s="1"/>
      <c r="K1849" s="1"/>
      <c r="O1849" s="1"/>
    </row>
    <row r="1850" spans="1:15" ht="15.75" customHeight="1">
      <c r="A1850" s="1"/>
      <c r="B1850" s="1"/>
      <c r="C1850" s="1"/>
      <c r="D1850" s="1"/>
      <c r="E1850" s="1"/>
      <c r="F1850" s="1"/>
      <c r="H1850" s="1"/>
      <c r="I1850" s="1"/>
      <c r="J1850" s="1"/>
      <c r="K1850" s="1"/>
      <c r="O1850" s="1"/>
    </row>
    <row r="1851" spans="1:15" ht="15.75" customHeight="1">
      <c r="A1851" s="1"/>
      <c r="B1851" s="1"/>
      <c r="C1851" s="1"/>
      <c r="D1851" s="1"/>
      <c r="E1851" s="1"/>
      <c r="F1851" s="1"/>
      <c r="H1851" s="1"/>
      <c r="I1851" s="1"/>
      <c r="J1851" s="1"/>
      <c r="K1851" s="1"/>
      <c r="O1851" s="1"/>
    </row>
    <row r="1852" spans="1:15" ht="15.75" customHeight="1">
      <c r="A1852" s="1"/>
      <c r="B1852" s="1"/>
      <c r="C1852" s="1"/>
      <c r="D1852" s="1"/>
      <c r="E1852" s="1"/>
      <c r="F1852" s="1"/>
      <c r="H1852" s="1"/>
      <c r="I1852" s="1"/>
      <c r="J1852" s="1"/>
      <c r="K1852" s="1"/>
      <c r="O1852" s="1"/>
    </row>
    <row r="1853" spans="1:15" ht="15.75" customHeight="1">
      <c r="A1853" s="1"/>
      <c r="B1853" s="1"/>
      <c r="C1853" s="1"/>
      <c r="D1853" s="1"/>
      <c r="E1853" s="1"/>
      <c r="F1853" s="1"/>
      <c r="H1853" s="1"/>
      <c r="I1853" s="1"/>
      <c r="J1853" s="1"/>
      <c r="K1853" s="1"/>
      <c r="O1853" s="1"/>
    </row>
    <row r="1854" spans="1:15" ht="15.75" customHeight="1">
      <c r="A1854" s="1"/>
      <c r="B1854" s="1"/>
      <c r="C1854" s="1"/>
      <c r="D1854" s="1"/>
      <c r="E1854" s="1"/>
      <c r="F1854" s="1"/>
      <c r="H1854" s="1"/>
      <c r="I1854" s="1"/>
      <c r="J1854" s="1"/>
      <c r="K1854" s="1"/>
      <c r="O1854" s="1"/>
    </row>
    <row r="1855" spans="1:15" ht="15.75" customHeight="1">
      <c r="A1855" s="1"/>
      <c r="B1855" s="1"/>
      <c r="C1855" s="1"/>
      <c r="D1855" s="1"/>
      <c r="E1855" s="1"/>
      <c r="F1855" s="1"/>
      <c r="H1855" s="1"/>
      <c r="I1855" s="1"/>
      <c r="J1855" s="1"/>
      <c r="K1855" s="1"/>
      <c r="O1855" s="1"/>
    </row>
    <row r="1856" spans="1:15" ht="15.75" customHeight="1">
      <c r="A1856" s="1"/>
      <c r="B1856" s="1"/>
      <c r="C1856" s="1"/>
      <c r="D1856" s="1"/>
      <c r="E1856" s="1"/>
      <c r="F1856" s="1"/>
      <c r="H1856" s="1"/>
      <c r="I1856" s="1"/>
      <c r="J1856" s="1"/>
      <c r="O1856" s="1"/>
    </row>
    <row r="1857" spans="1:15" ht="15.75" customHeight="1">
      <c r="A1857" s="1"/>
      <c r="B1857" s="1"/>
      <c r="C1857" s="1"/>
      <c r="D1857" s="1"/>
      <c r="E1857" s="1"/>
      <c r="F1857" s="1"/>
      <c r="H1857" s="1"/>
      <c r="I1857" s="1"/>
      <c r="J1857" s="1"/>
      <c r="K1857" s="1"/>
      <c r="O1857" s="1"/>
    </row>
    <row r="1858" spans="1:15" ht="15.75" customHeight="1">
      <c r="A1858" s="1"/>
      <c r="B1858" s="1"/>
      <c r="C1858" s="1"/>
      <c r="D1858" s="1"/>
      <c r="E1858" s="1"/>
      <c r="F1858" s="1"/>
      <c r="H1858" s="1"/>
      <c r="I1858" s="1"/>
      <c r="K1858" s="1"/>
    </row>
    <row r="1859" spans="1:15" ht="15.75" customHeight="1">
      <c r="A1859" s="1"/>
      <c r="B1859" s="1"/>
      <c r="C1859" s="1"/>
      <c r="D1859" s="1"/>
      <c r="E1859" s="1"/>
      <c r="F1859" s="1"/>
      <c r="H1859" s="1"/>
      <c r="I1859" s="1"/>
      <c r="J1859" s="1"/>
      <c r="K1859" s="1"/>
      <c r="O1859" s="1"/>
    </row>
    <row r="1860" spans="1:15" ht="15.75" customHeight="1">
      <c r="A1860" s="1"/>
      <c r="B1860" s="1"/>
      <c r="C1860" s="1"/>
      <c r="D1860" s="1"/>
      <c r="E1860" s="1"/>
      <c r="F1860" s="1"/>
      <c r="G1860" s="1"/>
      <c r="H1860" s="1"/>
      <c r="I1860" s="1"/>
      <c r="K1860" s="1"/>
    </row>
    <row r="1861" spans="1:15" ht="15.75" customHeight="1">
      <c r="A1861" s="1"/>
      <c r="B1861" s="1"/>
      <c r="C1861" s="1"/>
      <c r="D1861" s="1"/>
      <c r="E1861" s="1"/>
      <c r="F1861" s="1"/>
      <c r="H1861" s="1"/>
      <c r="I1861" s="1"/>
      <c r="J1861" s="1"/>
      <c r="K1861" s="1"/>
      <c r="O1861" s="1"/>
    </row>
    <row r="1862" spans="1:15" ht="15.75" customHeight="1">
      <c r="A1862" s="1"/>
      <c r="B1862" s="1"/>
      <c r="C1862" s="1"/>
      <c r="D1862" s="1"/>
      <c r="E1862" s="1"/>
      <c r="F1862" s="1"/>
      <c r="H1862" s="1"/>
      <c r="I1862" s="1"/>
      <c r="J1862" s="1"/>
      <c r="K1862" s="1"/>
      <c r="O1862" s="1"/>
    </row>
    <row r="1863" spans="1:15" ht="15.75" customHeight="1">
      <c r="A1863" s="1"/>
      <c r="B1863" s="1"/>
      <c r="C1863" s="1"/>
      <c r="D1863" s="1"/>
      <c r="E1863" s="1"/>
      <c r="F1863" s="1"/>
      <c r="H1863" s="1"/>
      <c r="I1863" s="1"/>
      <c r="J1863" s="1"/>
      <c r="K1863" s="1"/>
      <c r="O1863" s="1"/>
    </row>
    <row r="1864" spans="1:15" ht="15.75" customHeight="1">
      <c r="A1864" s="1"/>
      <c r="B1864" s="1"/>
      <c r="C1864" s="1"/>
      <c r="D1864" s="1"/>
      <c r="E1864" s="1"/>
      <c r="F1864" s="1"/>
      <c r="H1864" s="1"/>
      <c r="I1864" s="1"/>
      <c r="J1864" s="1"/>
      <c r="O1864" s="1"/>
    </row>
    <row r="1865" spans="1:15" ht="15.75" customHeight="1">
      <c r="A1865" s="1"/>
      <c r="B1865" s="1"/>
      <c r="C1865" s="1"/>
      <c r="D1865" s="1"/>
      <c r="E1865" s="1"/>
      <c r="F1865" s="1"/>
      <c r="H1865" s="1"/>
      <c r="I1865" s="1"/>
      <c r="J1865" s="1"/>
      <c r="K1865" s="1"/>
      <c r="O1865" s="1"/>
    </row>
    <row r="1866" spans="1:15" ht="15.75" customHeight="1">
      <c r="A1866" s="1"/>
      <c r="B1866" s="1"/>
      <c r="C1866" s="1"/>
      <c r="D1866" s="1"/>
      <c r="E1866" s="1"/>
      <c r="F1866" s="1"/>
      <c r="H1866" s="1"/>
      <c r="I1866" s="1"/>
      <c r="J1866" s="1"/>
      <c r="K1866" s="1"/>
      <c r="O1866" s="1"/>
    </row>
    <row r="1867" spans="1:15" ht="15.75" customHeight="1">
      <c r="A1867" s="1"/>
      <c r="B1867" s="1"/>
      <c r="C1867" s="1"/>
      <c r="D1867" s="1"/>
      <c r="E1867" s="1"/>
      <c r="F1867" s="1"/>
      <c r="H1867" s="1"/>
      <c r="I1867" s="1"/>
      <c r="J1867" s="1"/>
      <c r="K1867" s="1"/>
      <c r="O1867" s="1"/>
    </row>
    <row r="1868" spans="1:15" ht="15.75" customHeight="1">
      <c r="A1868" s="1"/>
      <c r="B1868" s="1"/>
      <c r="C1868" s="1"/>
      <c r="D1868" s="1"/>
      <c r="E1868" s="1"/>
      <c r="F1868" s="1"/>
      <c r="H1868" s="1"/>
      <c r="I1868" s="1"/>
      <c r="J1868" s="1"/>
      <c r="K1868" s="1"/>
      <c r="O1868" s="1"/>
    </row>
    <row r="1869" spans="1:15" ht="15.75" customHeight="1">
      <c r="A1869" s="1"/>
      <c r="B1869" s="1"/>
      <c r="C1869" s="1"/>
      <c r="D1869" s="1"/>
      <c r="E1869" s="1"/>
      <c r="F1869" s="1"/>
      <c r="H1869" s="1"/>
      <c r="I1869" s="1"/>
      <c r="J1869" s="1"/>
      <c r="K1869" s="1"/>
      <c r="O1869" s="1"/>
    </row>
    <row r="1870" spans="1:15" ht="15.75" customHeight="1">
      <c r="A1870" s="1"/>
      <c r="B1870" s="1"/>
      <c r="C1870" s="1"/>
      <c r="D1870" s="1"/>
      <c r="E1870" s="1"/>
      <c r="F1870" s="1"/>
      <c r="H1870" s="1"/>
      <c r="I1870" s="1"/>
      <c r="J1870" s="1"/>
      <c r="K1870" s="1"/>
      <c r="O1870" s="1"/>
    </row>
    <row r="1871" spans="1:15" ht="15.75" customHeight="1">
      <c r="A1871" s="1"/>
      <c r="B1871" s="1"/>
      <c r="C1871" s="1"/>
      <c r="D1871" s="1"/>
      <c r="E1871" s="1"/>
      <c r="F1871" s="1"/>
      <c r="H1871" s="1"/>
      <c r="I1871" s="1"/>
      <c r="J1871" s="1"/>
      <c r="K1871" s="1"/>
    </row>
    <row r="1872" spans="1:15" ht="15.75" customHeight="1">
      <c r="A1872" s="1"/>
      <c r="B1872" s="1"/>
      <c r="C1872" s="1"/>
      <c r="D1872" s="1"/>
      <c r="E1872" s="1"/>
      <c r="F1872" s="1"/>
      <c r="H1872" s="1"/>
      <c r="I1872" s="1"/>
      <c r="J1872" s="1"/>
      <c r="O1872" s="1"/>
    </row>
    <row r="1873" spans="1:15" ht="15.75" customHeight="1">
      <c r="A1873" s="1"/>
      <c r="B1873" s="1"/>
      <c r="C1873" s="1"/>
      <c r="D1873" s="1"/>
      <c r="E1873" s="1"/>
      <c r="F1873" s="1"/>
      <c r="H1873" s="1"/>
      <c r="I1873" s="1"/>
      <c r="J1873" s="1"/>
      <c r="K1873" s="1"/>
      <c r="O1873" s="1"/>
    </row>
    <row r="1874" spans="1:15" ht="15.75" customHeight="1">
      <c r="A1874" s="1"/>
      <c r="B1874" s="1"/>
      <c r="C1874" s="1"/>
      <c r="D1874" s="1"/>
      <c r="E1874" s="1"/>
      <c r="F1874" s="1"/>
      <c r="H1874" s="1"/>
      <c r="I1874" s="1"/>
      <c r="J1874" s="1"/>
      <c r="K1874" s="1"/>
      <c r="O1874" s="1"/>
    </row>
    <row r="1875" spans="1:15" ht="15.75" customHeight="1">
      <c r="A1875" s="1"/>
      <c r="B1875" s="1"/>
      <c r="C1875" s="1"/>
      <c r="D1875" s="1"/>
      <c r="E1875" s="1"/>
      <c r="F1875" s="1"/>
      <c r="H1875" s="1"/>
      <c r="I1875" s="1"/>
      <c r="J1875" s="1"/>
      <c r="K1875" s="1"/>
      <c r="O1875" s="1"/>
    </row>
    <row r="1876" spans="1:15" ht="15.75" customHeight="1">
      <c r="A1876" s="1"/>
      <c r="B1876" s="1"/>
      <c r="C1876" s="1"/>
      <c r="D1876" s="1"/>
      <c r="E1876" s="1"/>
      <c r="F1876" s="1"/>
      <c r="H1876" s="1"/>
      <c r="I1876" s="1"/>
      <c r="J1876" s="1"/>
      <c r="K1876" s="1"/>
      <c r="O1876" s="1"/>
    </row>
    <row r="1877" spans="1:15" ht="15.75" customHeight="1">
      <c r="A1877" s="1"/>
      <c r="B1877" s="1"/>
      <c r="C1877" s="1"/>
      <c r="D1877" s="1"/>
      <c r="E1877" s="1"/>
      <c r="F1877" s="1"/>
      <c r="H1877" s="1"/>
      <c r="I1877" s="1"/>
      <c r="J1877" s="1"/>
      <c r="K1877" s="1"/>
      <c r="O1877" s="1"/>
    </row>
    <row r="1878" spans="1:15" ht="15.75" customHeight="1">
      <c r="A1878" s="1"/>
      <c r="B1878" s="1"/>
      <c r="C1878" s="1"/>
      <c r="D1878" s="1"/>
      <c r="E1878" s="1"/>
      <c r="F1878" s="1"/>
      <c r="H1878" s="1"/>
      <c r="I1878" s="1"/>
      <c r="J1878" s="1"/>
      <c r="K1878" s="1"/>
      <c r="O1878" s="1"/>
    </row>
    <row r="1879" spans="1:15" ht="15.75" customHeight="1">
      <c r="A1879" s="1"/>
      <c r="B1879" s="1"/>
      <c r="C1879" s="1"/>
      <c r="D1879" s="1"/>
      <c r="E1879" s="1"/>
      <c r="F1879" s="1"/>
      <c r="H1879" s="1"/>
      <c r="I1879" s="1"/>
      <c r="J1879" s="1"/>
      <c r="K1879" s="1"/>
      <c r="O1879" s="1"/>
    </row>
    <row r="1880" spans="1:15" ht="15.75" customHeight="1">
      <c r="A1880" s="1"/>
      <c r="B1880" s="1"/>
      <c r="C1880" s="1"/>
      <c r="D1880" s="1"/>
      <c r="E1880" s="1"/>
      <c r="F1880" s="1"/>
      <c r="H1880" s="1"/>
      <c r="I1880" s="1"/>
      <c r="K1880" s="1"/>
    </row>
    <row r="1881" spans="1:15" ht="15.75" customHeight="1">
      <c r="A1881" s="1"/>
      <c r="B1881" s="1"/>
      <c r="C1881" s="1"/>
      <c r="D1881" s="1"/>
      <c r="E1881" s="1"/>
      <c r="F1881" s="1"/>
      <c r="H1881" s="1"/>
      <c r="I1881" s="1"/>
      <c r="O1881" s="1"/>
    </row>
    <row r="1882" spans="1:15" ht="15.75" customHeight="1">
      <c r="A1882" s="1"/>
      <c r="B1882" s="1"/>
      <c r="C1882" s="1"/>
      <c r="D1882" s="1"/>
      <c r="E1882" s="1"/>
      <c r="F1882" s="1"/>
      <c r="H1882" s="1"/>
      <c r="I1882" s="1"/>
      <c r="J1882" s="1"/>
      <c r="K1882" s="1"/>
      <c r="O1882" s="1"/>
    </row>
    <row r="1883" spans="1:15" ht="15.75" customHeight="1">
      <c r="A1883" s="1"/>
      <c r="B1883" s="1"/>
      <c r="C1883" s="1"/>
      <c r="D1883" s="1"/>
      <c r="E1883" s="1"/>
      <c r="F1883" s="1"/>
      <c r="H1883" s="1"/>
      <c r="I1883" s="1"/>
      <c r="J1883" s="1"/>
      <c r="K1883" s="1"/>
      <c r="O1883" s="1"/>
    </row>
    <row r="1884" spans="1:15" ht="15.75" customHeight="1">
      <c r="A1884" s="1"/>
      <c r="B1884" s="1"/>
      <c r="C1884" s="1"/>
      <c r="D1884" s="1"/>
      <c r="E1884" s="1"/>
      <c r="F1884" s="1"/>
      <c r="H1884" s="1"/>
      <c r="I1884" s="1"/>
      <c r="J1884" s="1"/>
      <c r="K1884" s="1"/>
      <c r="O1884" s="1"/>
    </row>
    <row r="1885" spans="1:15" ht="15.75" customHeight="1">
      <c r="A1885" s="1"/>
      <c r="B1885" s="1"/>
      <c r="C1885" s="1"/>
      <c r="D1885" s="1"/>
      <c r="E1885" s="1"/>
      <c r="F1885" s="1"/>
      <c r="H1885" s="1"/>
      <c r="I1885" s="1"/>
      <c r="K1885" s="1"/>
      <c r="O1885" s="1"/>
    </row>
    <row r="1886" spans="1:15" ht="15.75" customHeight="1">
      <c r="A1886" s="1"/>
      <c r="B1886" s="1"/>
      <c r="C1886" s="1"/>
      <c r="D1886" s="1"/>
      <c r="E1886" s="1"/>
      <c r="F1886" s="1"/>
      <c r="H1886" s="1"/>
      <c r="I1886" s="1"/>
      <c r="J1886" s="1"/>
      <c r="K1886" s="1"/>
      <c r="O1886" s="1"/>
    </row>
    <row r="1887" spans="1:15" ht="15.75" customHeight="1">
      <c r="A1887" s="1"/>
      <c r="B1887" s="1"/>
      <c r="C1887" s="1"/>
      <c r="D1887" s="1"/>
      <c r="E1887" s="1"/>
      <c r="F1887" s="1"/>
      <c r="H1887" s="1"/>
      <c r="I1887" s="1"/>
      <c r="J1887" s="1"/>
      <c r="O1887" s="1"/>
    </row>
    <row r="1888" spans="1:15" ht="15.75" customHeight="1">
      <c r="A1888" s="1"/>
      <c r="B1888" s="1"/>
      <c r="C1888" s="1"/>
      <c r="D1888" s="1"/>
      <c r="E1888" s="1"/>
      <c r="F1888" s="1"/>
      <c r="H1888" s="1"/>
      <c r="I1888" s="1"/>
      <c r="J1888" s="1"/>
      <c r="K1888" s="1"/>
      <c r="O1888" s="1"/>
    </row>
    <row r="1889" spans="1:15" ht="15.75" customHeight="1">
      <c r="A1889" s="1"/>
      <c r="B1889" s="1"/>
      <c r="C1889" s="1"/>
      <c r="D1889" s="1"/>
      <c r="F1889" s="1"/>
      <c r="H1889" s="1"/>
      <c r="I1889" s="1"/>
      <c r="J1889" s="1"/>
      <c r="K1889" s="1"/>
      <c r="O1889" s="1"/>
    </row>
    <row r="1890" spans="1:15" ht="15.75" customHeight="1">
      <c r="A1890" s="1"/>
      <c r="B1890" s="1"/>
      <c r="C1890" s="1"/>
      <c r="D1890" s="1"/>
      <c r="E1890" s="1"/>
      <c r="F1890" s="1"/>
      <c r="H1890" s="1"/>
      <c r="I1890" s="1"/>
      <c r="J1890" s="1"/>
      <c r="K1890" s="1"/>
      <c r="O1890" s="1"/>
    </row>
    <row r="1891" spans="1:15" ht="15.75" customHeight="1">
      <c r="A1891" s="1"/>
      <c r="B1891" s="1"/>
      <c r="C1891" s="1"/>
      <c r="D1891" s="1"/>
      <c r="E1891" s="1"/>
      <c r="F1891" s="1"/>
      <c r="H1891" s="1"/>
      <c r="I1891" s="1"/>
      <c r="J1891" s="1"/>
      <c r="K1891" s="1"/>
    </row>
    <row r="1892" spans="1:15" ht="15.75" customHeight="1">
      <c r="A1892" s="1"/>
      <c r="B1892" s="1"/>
      <c r="C1892" s="1"/>
      <c r="D1892" s="1"/>
      <c r="E1892" s="1"/>
      <c r="F1892" s="1"/>
      <c r="H1892" s="1"/>
      <c r="I1892" s="1"/>
      <c r="J1892" s="1"/>
      <c r="O1892" s="1"/>
    </row>
    <row r="1893" spans="1:15" ht="15.75" customHeight="1">
      <c r="A1893" s="1"/>
      <c r="B1893" s="1"/>
      <c r="C1893" s="1"/>
      <c r="D1893" s="1"/>
      <c r="E1893" s="1"/>
      <c r="F1893" s="1"/>
      <c r="H1893" s="1"/>
      <c r="I1893" s="1"/>
      <c r="J1893" s="1"/>
      <c r="O1893" s="1"/>
    </row>
    <row r="1894" spans="1:15" ht="15.75" customHeight="1">
      <c r="A1894" s="1"/>
      <c r="B1894" s="1"/>
      <c r="C1894" s="1"/>
      <c r="D1894" s="1"/>
      <c r="E1894" s="1"/>
      <c r="F1894" s="1"/>
      <c r="H1894" s="1"/>
      <c r="I1894" s="1"/>
      <c r="J1894" s="1"/>
      <c r="K1894" s="1"/>
      <c r="O1894" s="1"/>
    </row>
    <row r="1895" spans="1:15" ht="15.75" customHeight="1">
      <c r="A1895" s="1"/>
      <c r="B1895" s="1"/>
      <c r="C1895" s="1"/>
      <c r="D1895" s="1"/>
      <c r="E1895" s="1"/>
      <c r="F1895" s="1"/>
      <c r="H1895" s="1"/>
      <c r="I1895" s="1"/>
      <c r="J1895" s="1"/>
      <c r="K1895" s="1"/>
      <c r="O1895" s="1"/>
    </row>
    <row r="1896" spans="1:15" ht="15.75" customHeight="1">
      <c r="A1896" s="1"/>
      <c r="B1896" s="1"/>
      <c r="C1896" s="1"/>
      <c r="D1896" s="1"/>
      <c r="E1896" s="1"/>
      <c r="F1896" s="1"/>
      <c r="H1896" s="1"/>
      <c r="I1896" s="1"/>
      <c r="J1896" s="1"/>
    </row>
    <row r="1897" spans="1:15" ht="15.75" customHeight="1">
      <c r="A1897" s="1"/>
      <c r="B1897" s="1"/>
      <c r="C1897" s="1"/>
      <c r="D1897" s="1"/>
      <c r="E1897" s="1"/>
      <c r="F1897" s="1"/>
      <c r="H1897" s="1"/>
      <c r="I1897" s="1"/>
      <c r="J1897" s="1"/>
      <c r="O1897" s="1"/>
    </row>
    <row r="1898" spans="1:15" ht="15.75" customHeight="1">
      <c r="A1898" s="1"/>
      <c r="B1898" s="1"/>
      <c r="C1898" s="1"/>
      <c r="D1898" s="1"/>
      <c r="E1898" s="1"/>
      <c r="F1898" s="1"/>
      <c r="H1898" s="1"/>
      <c r="I1898" s="1"/>
      <c r="J1898" s="1"/>
      <c r="K1898" s="1"/>
      <c r="O1898" s="1"/>
    </row>
    <row r="1899" spans="1:15" ht="15.75" customHeight="1">
      <c r="A1899" s="1"/>
      <c r="B1899" s="1"/>
      <c r="C1899" s="1"/>
      <c r="D1899" s="1"/>
      <c r="E1899" s="1"/>
      <c r="F1899" s="1"/>
      <c r="H1899" s="1"/>
      <c r="I1899" s="1"/>
      <c r="J1899" s="1"/>
      <c r="K1899" s="1"/>
      <c r="O1899" s="1"/>
    </row>
    <row r="1900" spans="1:15" ht="15.75" customHeight="1">
      <c r="A1900" s="1"/>
      <c r="B1900" s="1"/>
      <c r="C1900" s="1"/>
      <c r="D1900" s="1"/>
      <c r="F1900" s="1"/>
      <c r="H1900" s="1"/>
      <c r="I1900" s="1"/>
      <c r="J1900" s="1"/>
      <c r="K1900" s="1"/>
      <c r="O1900" s="1"/>
    </row>
    <row r="1901" spans="1:15" ht="15.75" customHeight="1">
      <c r="A1901" s="1"/>
      <c r="B1901" s="1"/>
      <c r="C1901" s="1"/>
      <c r="D1901" s="1"/>
      <c r="E1901" s="1"/>
      <c r="F1901" s="1"/>
      <c r="H1901" s="1"/>
      <c r="I1901" s="1"/>
      <c r="J1901" s="1"/>
      <c r="O1901" s="1"/>
    </row>
    <row r="1902" spans="1:15" ht="15.75" customHeight="1">
      <c r="A1902" s="1"/>
      <c r="B1902" s="1"/>
      <c r="C1902" s="1"/>
      <c r="D1902" s="1"/>
      <c r="E1902" s="1"/>
      <c r="F1902" s="1"/>
      <c r="H1902" s="1"/>
      <c r="I1902" s="1"/>
      <c r="O1902" s="1"/>
    </row>
    <row r="1903" spans="1:15" ht="15.75" customHeight="1">
      <c r="A1903" s="1"/>
      <c r="B1903" s="1"/>
      <c r="C1903" s="1"/>
      <c r="D1903" s="1"/>
      <c r="E1903" s="1"/>
      <c r="F1903" s="1"/>
      <c r="H1903" s="1"/>
      <c r="I1903" s="1"/>
      <c r="J1903" s="1"/>
      <c r="O1903" s="1"/>
    </row>
    <row r="1904" spans="1:15" ht="15.75" customHeight="1">
      <c r="A1904" s="1"/>
      <c r="B1904" s="1"/>
      <c r="C1904" s="1"/>
      <c r="D1904" s="1"/>
      <c r="E1904" s="1"/>
      <c r="F1904" s="1"/>
      <c r="H1904" s="1"/>
      <c r="I1904" s="1"/>
      <c r="J1904" s="1"/>
      <c r="K1904" s="1"/>
      <c r="O1904" s="1"/>
    </row>
    <row r="1905" spans="1:15" ht="15.75" customHeight="1">
      <c r="A1905" s="1"/>
      <c r="B1905" s="1"/>
      <c r="C1905" s="1"/>
      <c r="D1905" s="1"/>
      <c r="E1905" s="1"/>
      <c r="F1905" s="1"/>
      <c r="H1905" s="1"/>
      <c r="I1905" s="1"/>
      <c r="J1905" s="1"/>
      <c r="O1905" s="1"/>
    </row>
    <row r="1906" spans="1:15" ht="15.75" customHeight="1">
      <c r="A1906" s="1"/>
      <c r="B1906" s="1"/>
      <c r="C1906" s="1"/>
      <c r="D1906" s="1"/>
      <c r="E1906" s="1"/>
      <c r="F1906" s="1"/>
      <c r="H1906" s="1"/>
      <c r="I1906" s="1"/>
      <c r="J1906" s="1"/>
      <c r="K1906" s="1"/>
      <c r="O1906" s="1"/>
    </row>
    <row r="1907" spans="1:15" ht="15.75" customHeight="1">
      <c r="A1907" s="1"/>
      <c r="B1907" s="1"/>
      <c r="C1907" s="1"/>
      <c r="D1907" s="1"/>
      <c r="E1907" s="1"/>
      <c r="F1907" s="1"/>
      <c r="G1907" s="1"/>
      <c r="H1907" s="1"/>
      <c r="I1907" s="1"/>
      <c r="J1907" s="1"/>
      <c r="O1907" s="1"/>
    </row>
    <row r="1908" spans="1:15" ht="15.75" customHeight="1">
      <c r="A1908" s="1"/>
      <c r="B1908" s="1"/>
      <c r="C1908" s="1"/>
      <c r="D1908" s="1"/>
      <c r="E1908" s="1"/>
      <c r="F1908" s="1"/>
      <c r="H1908" s="1"/>
      <c r="I1908" s="1"/>
      <c r="J1908" s="1"/>
      <c r="K1908" s="1"/>
      <c r="O1908" s="1"/>
    </row>
    <row r="1909" spans="1:15" ht="15.75" customHeight="1">
      <c r="A1909" s="1"/>
      <c r="B1909" s="1"/>
      <c r="C1909" s="1"/>
      <c r="D1909" s="1"/>
      <c r="E1909" s="1"/>
      <c r="F1909" s="1"/>
      <c r="H1909" s="1"/>
      <c r="I1909" s="1"/>
      <c r="J1909" s="1"/>
      <c r="K1909" s="1"/>
      <c r="O1909" s="1"/>
    </row>
    <row r="1910" spans="1:15" ht="15.75" customHeight="1">
      <c r="A1910" s="1"/>
      <c r="B1910" s="1"/>
      <c r="C1910" s="1"/>
      <c r="D1910" s="1"/>
      <c r="E1910" s="1"/>
      <c r="F1910" s="1"/>
      <c r="H1910" s="1"/>
      <c r="I1910" s="1"/>
      <c r="O1910" s="1"/>
    </row>
    <row r="1911" spans="1:15" ht="15.75" customHeight="1">
      <c r="A1911" s="1"/>
      <c r="B1911" s="1"/>
      <c r="C1911" s="1"/>
      <c r="D1911" s="1"/>
      <c r="E1911" s="1"/>
      <c r="F1911" s="1"/>
      <c r="H1911" s="1"/>
      <c r="I1911" s="1"/>
      <c r="J1911" s="1"/>
      <c r="K1911" s="1"/>
      <c r="O1911" s="1"/>
    </row>
    <row r="1912" spans="1:15" ht="15.75" customHeight="1">
      <c r="A1912" s="1"/>
      <c r="B1912" s="1"/>
      <c r="C1912" s="1"/>
      <c r="D1912" s="1"/>
      <c r="E1912" s="1"/>
      <c r="F1912" s="1"/>
      <c r="H1912" s="1"/>
      <c r="I1912" s="1"/>
      <c r="J1912" s="1"/>
      <c r="K1912" s="1"/>
      <c r="O1912" s="1"/>
    </row>
    <row r="1913" spans="1:15" ht="15.75" customHeight="1">
      <c r="A1913" s="1"/>
      <c r="B1913" s="1"/>
      <c r="C1913" s="1"/>
      <c r="D1913" s="1"/>
      <c r="F1913" s="1"/>
      <c r="H1913" s="1"/>
      <c r="I1913" s="1"/>
      <c r="J1913" s="1"/>
      <c r="K1913" s="1"/>
      <c r="O1913" s="1"/>
    </row>
    <row r="1914" spans="1:15" ht="15.75" customHeight="1">
      <c r="A1914" s="1"/>
      <c r="B1914" s="1"/>
      <c r="C1914" s="1"/>
      <c r="D1914" s="1"/>
      <c r="E1914" s="1"/>
      <c r="F1914" s="1"/>
      <c r="H1914" s="1"/>
      <c r="I1914" s="1"/>
      <c r="K1914" s="1"/>
      <c r="O1914" s="1"/>
    </row>
    <row r="1915" spans="1:15" ht="15.75" customHeight="1">
      <c r="A1915" s="1"/>
      <c r="B1915" s="1"/>
      <c r="C1915" s="1"/>
      <c r="D1915" s="1"/>
      <c r="E1915" s="1"/>
      <c r="F1915" s="1"/>
      <c r="H1915" s="1"/>
      <c r="I1915" s="1"/>
      <c r="J1915" s="1"/>
      <c r="K1915" s="1"/>
      <c r="O1915" s="1"/>
    </row>
    <row r="1916" spans="1:15" ht="15.75" customHeight="1">
      <c r="A1916" s="1"/>
      <c r="B1916" s="1"/>
      <c r="C1916" s="1"/>
      <c r="D1916" s="1"/>
      <c r="E1916" s="1"/>
      <c r="F1916" s="1"/>
      <c r="H1916" s="1"/>
      <c r="I1916" s="1"/>
      <c r="J1916" s="1"/>
      <c r="O1916" s="1"/>
    </row>
    <row r="1917" spans="1:15" ht="15.75" customHeight="1">
      <c r="A1917" s="1"/>
      <c r="B1917" s="1"/>
      <c r="C1917" s="1"/>
      <c r="D1917" s="1"/>
      <c r="E1917" s="1"/>
      <c r="F1917" s="1"/>
      <c r="H1917" s="1"/>
      <c r="I1917" s="1"/>
      <c r="J1917" s="1"/>
      <c r="K1917" s="1"/>
      <c r="O1917" s="1"/>
    </row>
    <row r="1918" spans="1:15" ht="15.75" customHeight="1">
      <c r="A1918" s="1"/>
      <c r="B1918" s="1"/>
      <c r="C1918" s="1"/>
      <c r="D1918" s="1"/>
      <c r="E1918" s="1"/>
      <c r="F1918" s="1"/>
      <c r="H1918" s="1"/>
      <c r="I1918" s="1"/>
      <c r="J1918" s="1"/>
      <c r="K1918" s="1"/>
      <c r="O1918" s="1"/>
    </row>
    <row r="1919" spans="1:15" ht="15.75" customHeight="1">
      <c r="A1919" s="1"/>
      <c r="B1919" s="1"/>
      <c r="C1919" s="1"/>
      <c r="D1919" s="1"/>
      <c r="F1919" s="1"/>
      <c r="H1919" s="1"/>
      <c r="I1919" s="1"/>
      <c r="J1919" s="1"/>
      <c r="K1919" s="1"/>
      <c r="O1919" s="1"/>
    </row>
    <row r="1920" spans="1:15" ht="15.75" customHeight="1">
      <c r="A1920" s="1"/>
      <c r="B1920" s="1"/>
      <c r="C1920" s="1"/>
      <c r="D1920" s="1"/>
      <c r="E1920" s="1"/>
      <c r="F1920" s="1"/>
      <c r="G1920" s="1"/>
      <c r="H1920" s="1"/>
      <c r="I1920" s="1"/>
      <c r="K1920" s="1"/>
      <c r="O1920" s="1"/>
    </row>
    <row r="1921" spans="1:15" ht="15.75" customHeight="1">
      <c r="A1921" s="1"/>
      <c r="B1921" s="1"/>
      <c r="C1921" s="1"/>
      <c r="D1921" s="1"/>
      <c r="E1921" s="1"/>
      <c r="F1921" s="1"/>
      <c r="H1921" s="1"/>
      <c r="I1921" s="1"/>
      <c r="J1921" s="1"/>
      <c r="K1921" s="1"/>
      <c r="O1921" s="1"/>
    </row>
    <row r="1922" spans="1:15" ht="15.75" customHeight="1">
      <c r="A1922" s="1"/>
      <c r="B1922" s="1"/>
      <c r="C1922" s="1"/>
      <c r="D1922" s="1"/>
      <c r="E1922" s="1"/>
      <c r="F1922" s="1"/>
      <c r="H1922" s="1"/>
      <c r="I1922" s="1"/>
      <c r="J1922" s="1"/>
      <c r="K1922" s="1"/>
      <c r="O1922" s="1"/>
    </row>
    <row r="1923" spans="1:15" ht="15.75" customHeight="1">
      <c r="A1923" s="1"/>
      <c r="B1923" s="1"/>
      <c r="C1923" s="1"/>
      <c r="D1923" s="1"/>
      <c r="F1923" s="1"/>
      <c r="H1923" s="1"/>
      <c r="I1923" s="1"/>
      <c r="J1923" s="1"/>
      <c r="K1923" s="1"/>
      <c r="O1923" s="1"/>
    </row>
  </sheetData>
  <autoFilter ref="A1:Q1308" xr:uid="{00000000-0001-0000-01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Byron Duhalde Valenzuela</dc:creator>
  <cp:lastModifiedBy>Byron Duhalde Valenzuela</cp:lastModifiedBy>
  <dcterms:created xsi:type="dcterms:W3CDTF">2024-06-18T00:41:01Z</dcterms:created>
  <dcterms:modified xsi:type="dcterms:W3CDTF">2026-01-04T17:06:37Z</dcterms:modified>
</cp:coreProperties>
</file>